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andy/Documents/ NEW DESKTOP/DOWNLOADS in here/"/>
    </mc:Choice>
  </mc:AlternateContent>
  <xr:revisionPtr revIDLastSave="0" documentId="13_ncr:1_{C8F87EE0-2FC7-E242-B4B2-647ABCF68A8C}" xr6:coauthVersionLast="45" xr6:coauthVersionMax="45" xr10:uidLastSave="{00000000-0000-0000-0000-000000000000}"/>
  <bookViews>
    <workbookView xWindow="0" yWindow="460" windowWidth="28800" windowHeight="16640" xr2:uid="{BDC7CB2B-9F81-E442-8A67-B3DB5266AE3F}"/>
  </bookViews>
  <sheets>
    <sheet name="Data entry" sheetId="2" r:id="rId1"/>
    <sheet name="Explanation" sheetId="4" r:id="rId2"/>
    <sheet name="Behind the scen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3" i="2" l="1"/>
  <c r="D35" i="2" l="1"/>
  <c r="B32" i="2"/>
  <c r="B49" i="2"/>
  <c r="B93" i="2"/>
  <c r="B94" i="2"/>
  <c r="B92" i="2" l="1"/>
  <c r="B75" i="2" s="1"/>
  <c r="B71" i="2" l="1"/>
  <c r="M9" i="2"/>
  <c r="B69" i="2"/>
  <c r="B72" i="2"/>
  <c r="M5" i="2"/>
  <c r="B74" i="2"/>
  <c r="B68" i="2"/>
  <c r="M12" i="2"/>
  <c r="Z15" i="2" s="1"/>
  <c r="M10" i="2"/>
  <c r="B70" i="2"/>
  <c r="B77" i="2"/>
  <c r="M8" i="2"/>
  <c r="B73" i="2"/>
  <c r="B76" i="2"/>
  <c r="M11" i="2"/>
  <c r="B105" i="2"/>
  <c r="Z13" i="2" s="1"/>
  <c r="AA13" i="2" s="1"/>
  <c r="AB13" i="2" s="1"/>
  <c r="AC13" i="2" s="1"/>
  <c r="AD13" i="2" s="1"/>
  <c r="AE13" i="2" s="1"/>
  <c r="AF13" i="2" s="1"/>
  <c r="AG13" i="2" s="1"/>
  <c r="AH13" i="2" s="1"/>
  <c r="AI13" i="2" s="1"/>
  <c r="AJ13" i="2" s="1"/>
  <c r="AK13" i="2" s="1"/>
  <c r="AL13" i="2" s="1"/>
  <c r="AM13" i="2" s="1"/>
  <c r="AN13" i="2" s="1"/>
  <c r="AO13" i="2" s="1"/>
  <c r="AP13" i="2" s="1"/>
  <c r="AQ13" i="2" s="1"/>
  <c r="AR13" i="2" s="1"/>
  <c r="AS13" i="2" s="1"/>
  <c r="AT13" i="2" s="1"/>
  <c r="AU13" i="2" s="1"/>
  <c r="AV13" i="2" s="1"/>
  <c r="AW13" i="2" s="1"/>
  <c r="AX13" i="2" s="1"/>
  <c r="AY13" i="2" s="1"/>
  <c r="AZ13" i="2" s="1"/>
  <c r="BA13" i="2" s="1"/>
  <c r="BB13" i="2" s="1"/>
  <c r="BC13" i="2" s="1"/>
  <c r="Z14" i="2" l="1"/>
  <c r="AA15" i="2"/>
  <c r="AB15" i="2" s="1"/>
  <c r="AC15" i="2" s="1"/>
  <c r="AD15" i="2" s="1"/>
  <c r="AE15" i="2" s="1"/>
  <c r="AF15" i="2" s="1"/>
  <c r="AG15" i="2" s="1"/>
  <c r="AH15" i="2" s="1"/>
  <c r="AI15" i="2" s="1"/>
  <c r="AJ15" i="2" s="1"/>
  <c r="AK15" i="2" s="1"/>
  <c r="AL15" i="2" s="1"/>
  <c r="AM15" i="2" s="1"/>
  <c r="AN15" i="2" s="1"/>
  <c r="AO15" i="2" s="1"/>
  <c r="AP15" i="2" s="1"/>
  <c r="AQ15" i="2" s="1"/>
  <c r="AR15" i="2" s="1"/>
  <c r="AS15" i="2" s="1"/>
  <c r="AT15" i="2" s="1"/>
  <c r="AU15" i="2" s="1"/>
  <c r="AV15" i="2" s="1"/>
  <c r="AW15" i="2" s="1"/>
  <c r="AX15" i="2" s="1"/>
  <c r="AY15" i="2" s="1"/>
  <c r="AZ15" i="2" s="1"/>
  <c r="BA15" i="2" s="1"/>
  <c r="BB15" i="2" s="1"/>
  <c r="BC15" i="2" s="1"/>
  <c r="Z16" i="2"/>
  <c r="AA14" i="2"/>
  <c r="AB14" i="2" s="1"/>
  <c r="AC14" i="2" s="1"/>
  <c r="AD14" i="2" s="1"/>
  <c r="AE14" i="2" s="1"/>
  <c r="AF14" i="2" s="1"/>
  <c r="AG14" i="2" s="1"/>
  <c r="AH14" i="2" s="1"/>
  <c r="AI14" i="2" s="1"/>
  <c r="AJ14" i="2" s="1"/>
  <c r="AK14" i="2" s="1"/>
  <c r="AL14" i="2" s="1"/>
  <c r="AM14" i="2" s="1"/>
  <c r="AN14" i="2" s="1"/>
  <c r="AO14" i="2" s="1"/>
  <c r="AP14" i="2" s="1"/>
  <c r="AQ14" i="2" s="1"/>
  <c r="AR14" i="2" s="1"/>
  <c r="AS14" i="2" s="1"/>
  <c r="AT14" i="2" s="1"/>
  <c r="AU14" i="2" s="1"/>
  <c r="AV14" i="2" s="1"/>
  <c r="AW14" i="2" s="1"/>
  <c r="AX14" i="2" s="1"/>
  <c r="AY14" i="2" s="1"/>
  <c r="AZ14" i="2" s="1"/>
  <c r="BA14" i="2" s="1"/>
  <c r="BB14" i="2" s="1"/>
  <c r="BC14" i="2" s="1"/>
  <c r="AA16" i="2" l="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BA16" i="2" s="1"/>
  <c r="BB16" i="2" s="1"/>
  <c r="BC16" i="2" s="1"/>
  <c r="D30" i="2" l="1"/>
  <c r="B78" i="2" s="1"/>
  <c r="B44" i="2" l="1"/>
  <c r="B56" i="2" l="1"/>
  <c r="B55" i="2"/>
  <c r="B54" i="2"/>
  <c r="B48" i="2"/>
  <c r="B83" i="2" s="1"/>
  <c r="H59" i="2"/>
  <c r="H62" i="2"/>
  <c r="F60" i="2"/>
  <c r="H60" i="2" s="1"/>
  <c r="F61" i="2"/>
  <c r="H61" i="2" s="1"/>
  <c r="B80" i="2"/>
  <c r="B57" i="2" l="1"/>
  <c r="B51" i="2" s="1"/>
  <c r="B65" i="2"/>
  <c r="J4" i="3"/>
  <c r="J72" i="3" s="1"/>
  <c r="M37" i="2" l="1"/>
  <c r="M41" i="2"/>
  <c r="M35" i="2"/>
  <c r="M38" i="2"/>
  <c r="P38" i="2" s="1"/>
  <c r="S38" i="2" s="1"/>
  <c r="M34" i="2"/>
  <c r="M36" i="2"/>
  <c r="J62" i="2"/>
  <c r="B62" i="2" s="1"/>
  <c r="J60" i="2"/>
  <c r="B60" i="2" s="1"/>
  <c r="J61" i="2"/>
  <c r="B61" i="2" s="1"/>
  <c r="J59" i="2"/>
  <c r="B59" i="2" s="1"/>
  <c r="J70" i="3"/>
  <c r="J5" i="3"/>
  <c r="J73" i="3"/>
  <c r="J21" i="3"/>
  <c r="J33" i="3"/>
  <c r="J37" i="3"/>
  <c r="J10" i="3"/>
  <c r="J45" i="3"/>
  <c r="J25" i="3"/>
  <c r="J49" i="3"/>
  <c r="J17" i="3"/>
  <c r="J34" i="3"/>
  <c r="J54" i="3"/>
  <c r="J13" i="3"/>
  <c r="J26" i="3"/>
  <c r="J42" i="3"/>
  <c r="J58" i="3"/>
  <c r="J62" i="3"/>
  <c r="J9" i="3"/>
  <c r="J18" i="3"/>
  <c r="J29" i="3"/>
  <c r="J41" i="3"/>
  <c r="J50" i="3"/>
  <c r="J65" i="3"/>
  <c r="J6" i="3"/>
  <c r="J14" i="3"/>
  <c r="J22" i="3"/>
  <c r="J30" i="3"/>
  <c r="J38" i="3"/>
  <c r="J46" i="3"/>
  <c r="J57" i="3"/>
  <c r="J66" i="3"/>
  <c r="J53" i="3"/>
  <c r="J61" i="3"/>
  <c r="J69" i="3"/>
  <c r="J7" i="3"/>
  <c r="J11" i="3"/>
  <c r="J15" i="3"/>
  <c r="J19" i="3"/>
  <c r="J23" i="3"/>
  <c r="J27" i="3"/>
  <c r="J31" i="3"/>
  <c r="J35" i="3"/>
  <c r="J39" i="3"/>
  <c r="J43" i="3"/>
  <c r="J47" i="3"/>
  <c r="J51" i="3"/>
  <c r="J55" i="3"/>
  <c r="J59" i="3"/>
  <c r="J63" i="3"/>
  <c r="J67" i="3"/>
  <c r="J71" i="3"/>
  <c r="J8" i="3"/>
  <c r="J12" i="3"/>
  <c r="J16" i="3"/>
  <c r="J20" i="3"/>
  <c r="J24" i="3"/>
  <c r="J28" i="3"/>
  <c r="J32" i="3"/>
  <c r="J36" i="3"/>
  <c r="J40" i="3"/>
  <c r="J44" i="3"/>
  <c r="J48" i="3"/>
  <c r="J52" i="3"/>
  <c r="J56" i="3"/>
  <c r="J60" i="3"/>
  <c r="J64" i="3"/>
  <c r="J68" i="3"/>
  <c r="B86" i="2"/>
  <c r="B66" i="2" l="1"/>
  <c r="B67" i="2" s="1"/>
  <c r="B63" i="2"/>
  <c r="B81" i="2" l="1"/>
  <c r="B5" i="2" s="1"/>
  <c r="N12" i="2" s="1"/>
  <c r="O12" i="2" s="1"/>
  <c r="N5" i="2" l="1"/>
  <c r="N9" i="2"/>
  <c r="O9" i="2" s="1"/>
  <c r="N10" i="2"/>
  <c r="O10" i="2" s="1"/>
  <c r="N8" i="2"/>
  <c r="O8" i="2" s="1"/>
  <c r="B107" i="2" s="1"/>
  <c r="Z11" i="2" s="1"/>
  <c r="N11" i="2"/>
  <c r="P11" i="2" s="1"/>
  <c r="AA11" i="2" l="1"/>
  <c r="AB11" i="2" s="1"/>
  <c r="AC11" i="2" s="1"/>
  <c r="AD11" i="2" s="1"/>
  <c r="AE11" i="2" s="1"/>
  <c r="AF11" i="2" s="1"/>
  <c r="AG11" i="2" s="1"/>
  <c r="AH11" i="2" s="1"/>
  <c r="AI11" i="2" s="1"/>
  <c r="AJ11" i="2" s="1"/>
  <c r="AK11" i="2" s="1"/>
  <c r="AL11" i="2" s="1"/>
  <c r="AM11" i="2" s="1"/>
  <c r="AN11" i="2" s="1"/>
  <c r="AO11" i="2" s="1"/>
  <c r="AP11" i="2" s="1"/>
  <c r="AQ11" i="2" s="1"/>
  <c r="AR11" i="2" s="1"/>
  <c r="AS11" i="2" s="1"/>
  <c r="AT11" i="2" s="1"/>
  <c r="AU11" i="2" s="1"/>
  <c r="AV11" i="2" s="1"/>
  <c r="AW11" i="2" s="1"/>
  <c r="AX11" i="2" s="1"/>
  <c r="AY11" i="2" s="1"/>
  <c r="AZ11" i="2" s="1"/>
  <c r="BA11" i="2" s="1"/>
  <c r="BB11" i="2" s="1"/>
  <c r="BC11" i="2" s="1"/>
  <c r="Z12" i="2"/>
  <c r="O5" i="2"/>
  <c r="B104" i="2"/>
  <c r="B106" i="2" s="1"/>
  <c r="Z9" i="2" s="1"/>
  <c r="S11" i="2"/>
  <c r="S34" i="2" s="1"/>
  <c r="T24" i="2" s="1"/>
  <c r="O50" i="2" s="1"/>
  <c r="O11" i="2"/>
  <c r="AA12" i="2" l="1"/>
  <c r="AB12" i="2" s="1"/>
  <c r="AC12" i="2" s="1"/>
  <c r="AD12" i="2" s="1"/>
  <c r="AE12" i="2" s="1"/>
  <c r="AF12" i="2" s="1"/>
  <c r="AG12" i="2" s="1"/>
  <c r="AH12" i="2" s="1"/>
  <c r="AI12" i="2" s="1"/>
  <c r="AJ12" i="2" s="1"/>
  <c r="AK12" i="2" s="1"/>
  <c r="AL12" i="2" s="1"/>
  <c r="AM12" i="2" s="1"/>
  <c r="AN12" i="2" s="1"/>
  <c r="AO12" i="2" s="1"/>
  <c r="AP12" i="2" s="1"/>
  <c r="AQ12" i="2" s="1"/>
  <c r="AR12" i="2" s="1"/>
  <c r="AS12" i="2" s="1"/>
  <c r="AT12" i="2" s="1"/>
  <c r="AU12" i="2" s="1"/>
  <c r="AV12" i="2" s="1"/>
  <c r="AW12" i="2" s="1"/>
  <c r="AX12" i="2" s="1"/>
  <c r="AY12" i="2" s="1"/>
  <c r="AZ12" i="2" s="1"/>
  <c r="BA12" i="2" s="1"/>
  <c r="BB12" i="2" s="1"/>
  <c r="BC12" i="2" s="1"/>
  <c r="AA9" i="2"/>
  <c r="AB9" i="2" s="1"/>
  <c r="AC9" i="2" s="1"/>
  <c r="AD9" i="2" s="1"/>
  <c r="AE9" i="2" s="1"/>
  <c r="AF9" i="2" s="1"/>
  <c r="AG9" i="2" s="1"/>
  <c r="AH9" i="2" s="1"/>
  <c r="AI9" i="2" s="1"/>
  <c r="AJ9" i="2" s="1"/>
  <c r="AK9" i="2" s="1"/>
  <c r="AL9" i="2" s="1"/>
  <c r="AM9" i="2" s="1"/>
  <c r="AN9" i="2" s="1"/>
  <c r="AO9" i="2" s="1"/>
  <c r="AP9" i="2" s="1"/>
  <c r="AQ9" i="2" s="1"/>
  <c r="AR9" i="2" s="1"/>
  <c r="AS9" i="2" s="1"/>
  <c r="AT9" i="2" s="1"/>
  <c r="AU9" i="2" s="1"/>
  <c r="AV9" i="2" s="1"/>
  <c r="AW9" i="2" s="1"/>
  <c r="AX9" i="2" s="1"/>
  <c r="AY9" i="2" s="1"/>
  <c r="AZ9" i="2" s="1"/>
  <c r="BA9" i="2" s="1"/>
  <c r="BB9" i="2" s="1"/>
  <c r="BC9" i="2" s="1"/>
  <c r="Z10" i="2"/>
  <c r="AA10" i="2" l="1"/>
  <c r="AB10" i="2" s="1"/>
  <c r="AC10" i="2" s="1"/>
  <c r="AD10" i="2" s="1"/>
  <c r="AE10" i="2" s="1"/>
  <c r="AF10" i="2" s="1"/>
  <c r="AG10" i="2" s="1"/>
  <c r="AH10" i="2" s="1"/>
  <c r="AI10" i="2" s="1"/>
  <c r="AJ10" i="2" s="1"/>
  <c r="AK10" i="2" s="1"/>
  <c r="AL10" i="2" s="1"/>
  <c r="AM10" i="2" s="1"/>
  <c r="AN10" i="2" s="1"/>
  <c r="AO10" i="2" s="1"/>
  <c r="AP10" i="2" s="1"/>
  <c r="AQ10" i="2" s="1"/>
  <c r="AR10" i="2" s="1"/>
  <c r="AS10" i="2" s="1"/>
  <c r="AT10" i="2" s="1"/>
  <c r="AU10" i="2" s="1"/>
  <c r="AV10" i="2" s="1"/>
  <c r="AW10" i="2" s="1"/>
  <c r="AX10" i="2" s="1"/>
  <c r="AY10" i="2" s="1"/>
  <c r="AZ10" i="2" s="1"/>
  <c r="BA10" i="2" s="1"/>
  <c r="BB10" i="2" s="1"/>
  <c r="BC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tc={D6EA11CD-5C7C-CD4A-8422-D8EB2B4C493D}</author>
    <author>tc={F3620705-CA6B-7E4A-8312-A2FC89E668D0}</author>
    <author>tc={217BD14B-995C-304E-BCA9-286EED6F0EE9}</author>
    <author>tc={5BCB98EF-B966-E94A-AB4D-BE71C0C0DDF5}</author>
    <author>tc={99BF1BD5-B9C1-5A45-9B3C-2F5CBDDB0C83}</author>
    <author>tc={281FF84E-7E10-B64F-8E44-82718D7E0348}</author>
    <author>tc={D9E5CE17-8CB1-884B-8872-90D87D88DE4C}</author>
    <author>tc={A5726878-224A-D745-9161-F04DFD331FD2}</author>
    <author>tc={F94DE448-DFFD-FE43-9A23-DE2A0CF50B06}</author>
    <author>tc={6F06F667-8605-DE42-BC22-0A80073B8894}</author>
    <author>tc={6E857202-6915-D64E-BFB3-141F984D42C3}</author>
    <author>tc={96B1C85C-E476-9C40-90E5-7EB8928C9F2B}</author>
    <author>tc={F8B0AF3E-2EF6-A24C-BF9A-FF62CEECF64B}</author>
    <author>tc={E5144BF1-A054-FC46-9E60-F1A7FCA2AADA}</author>
    <author>tc={97647B96-74DA-5E47-97ED-B263DC27AD2D}</author>
    <author>tc={2E954BA5-16C5-374C-BE8F-D5F46CBCC292}</author>
    <author>tc={B74C3856-B3E7-D34A-BE2D-99C683132557}</author>
  </authors>
  <commentList>
    <comment ref="A10" authorId="0" shapeId="0" xr:uid="{D6EA11CD-5C7C-CD4A-8422-D8EB2B4C493D}">
      <text>
        <t>[Threaded comment]
Your version of Excel allows you to read this threaded comment; however, any edits to it will get removed if the file is opened in a newer version of Excel. Learn more: https://go.microsoft.com/fwlink/?linkid=870924
Comment:
    from PHPP PER sheet (=W20/V20)</t>
      </text>
    </comment>
    <comment ref="A11" authorId="1" shapeId="0" xr:uid="{F3620705-CA6B-7E4A-8312-A2FC89E668D0}">
      <text>
        <t>[Threaded comment]
Your version of Excel allows you to read this threaded comment; however, any edits to it will get removed if the file is opened in a newer version of Excel. Learn more: https://go.microsoft.com/fwlink/?linkid=870924
Comment:
    from PHPP PER sheet, (=sum(T33:T34))</t>
      </text>
    </comment>
    <comment ref="A12" authorId="2" shapeId="0" xr:uid="{217BD14B-995C-304E-BCA9-286EED6F0EE9}">
      <text>
        <t>[Threaded comment]
Your version of Excel allows you to read this threaded comment; however, any edits to it will get removed if the file is opened in a newer version of Excel. Learn more: https://go.microsoft.com/fwlink/?linkid=870924
Comment:
    fromPHPP PER sheet, (=sum(T35:T36))</t>
      </text>
    </comment>
    <comment ref="A13" authorId="3" shapeId="0" xr:uid="{5BCB98EF-B966-E94A-AB4D-BE71C0C0DDF5}">
      <text>
        <t>[Threaded comment]
Your version of Excel allows you to read this threaded comment; however, any edits to it will get removed if the file is opened in a newer version of Excel. Learn more: https://go.microsoft.com/fwlink/?linkid=870924
Comment:
    from PHPP PER sheet, (=sum(T39:T48))</t>
      </text>
    </comment>
    <comment ref="A14" authorId="4" shapeId="0" xr:uid="{99BF1BD5-B9C1-5A45-9B3C-2F5CBDDB0C83}">
      <text>
        <t>[Threaded comment]
Your version of Excel allows you to read this threaded comment; however, any edits to it will get removed if the file is opened in a newer version of Excel. Learn more: https://go.microsoft.com/fwlink/?linkid=870924
Comment:
    from PHPP PER sheet, sum T51:T52</t>
      </text>
    </comment>
    <comment ref="A15" authorId="5" shapeId="0" xr:uid="{281FF84E-7E10-B64F-8E44-82718D7E0348}">
      <text>
        <t>[Threaded comment]
Your version of Excel allows you to read this threaded comment; however, any edits to it will get removed if the file is opened in a newer version of Excel. Learn more: https://go.microsoft.com/fwlink/?linkid=870924
Comment:
    from PHPP, Verification tab, cell I34</t>
      </text>
    </comment>
    <comment ref="E22" authorId="6" shapeId="0" xr:uid="{D9E5CE17-8CB1-884B-8872-90D87D88DE4C}">
      <text>
        <t>[Threaded comment]
Your version of Excel allows you to read this threaded comment; however, any edits to it will get removed if the file is opened in a newer version of Excel. Learn more: https://go.microsoft.com/fwlink/?linkid=870924
Comment:
    200kWh/year is ~4 stars. For model specific information to go https://reg.energyrating.gov.au/comparator/product_types/</t>
      </text>
    </comment>
    <comment ref="E23" authorId="7" shapeId="0" xr:uid="{A5726878-224A-D745-9161-F04DFD331FD2}">
      <text>
        <t>[Threaded comment]
Your version of Excel allows you to read this threaded comment; however, any edits to it will get removed if the file is opened in a newer version of Excel. Learn more: https://go.microsoft.com/fwlink/?linkid=870924
Comment:
    220kWh/year is ~5 stars for an upright freezer. For model specific information to go https://www.energyrating.gov.au/calculator</t>
      </text>
    </comment>
    <comment ref="E24" authorId="8" shapeId="0" xr:uid="{F94DE448-DFFD-FE43-9A23-DE2A0CF50B06}">
      <text>
        <t>[Threaded comment]
Your version of Excel allows you to read this threaded comment; however, any edits to it will get removed if the file is opened in a newer version of Excel. Learn more: https://go.microsoft.com/fwlink/?linkid=870924
Comment:
    280kWh/year is ~5 stars. For model specific information to go https://www.energyrating.gov.au/calculator</t>
      </text>
    </comment>
    <comment ref="G25" authorId="9" shapeId="0" xr:uid="{6F06F667-8605-DE42-BC22-0A80073B8894}">
      <text>
        <t>[Threaded comment]
Your version of Excel allows you to read this threaded comment; however, any edits to it will get removed if the file is opened in a newer version of Excel. Learn more: https://go.microsoft.com/fwlink/?linkid=870924
Comment:
    325kWh/year is ~4 stars for energy. For model specific information to go https://reg.energyrating.gov.au/comparator/product_types/49/search/?expired_products=on</t>
      </text>
    </comment>
    <comment ref="I25" authorId="10" shapeId="0" xr:uid="{6E857202-6915-D64E-BFB3-141F984D42C3}">
      <text>
        <t>[Threaded comment]
Your version of Excel allows you to read this threaded comment; however, any edits to it will get removed if the file is opened in a newer version of Excel. Learn more: https://go.microsoft.com/fwlink/?linkid=870924
Comment:
    defaults for 4Star front loader. Morre options here https://wels.agriculture.gov.au/wels-public/action/search-product-load?sort=&amp;dir=asc&amp;code=CLOTWAMA</t>
      </text>
    </comment>
    <comment ref="G26" authorId="11" shapeId="0" xr:uid="{96B1C85C-E476-9C40-90E5-7EB8928C9F2B}">
      <text>
        <t>[Threaded comment]
Your version of Excel allows you to read this threaded comment; however, any edits to it will get removed if the file is opened in a newer version of Excel. Learn more: https://go.microsoft.com/fwlink/?linkid=870924
Comment:
    240kWh/year is ~4 stars for energy. For model specific information to go https://reg.energyrating.gov.au/comparator/product_types/41/search/?expired_products=on</t>
      </text>
    </comment>
    <comment ref="I26" authorId="12" shapeId="0" xr:uid="{F8B0AF3E-2EF6-A24C-BF9A-FF62CEECF64B}">
      <text>
        <t>[Threaded comment]
Your version of Excel allows you to read this threaded comment; however, any edits to it will get removed if the file is opened in a newer version of Excel. Learn more: https://go.microsoft.com/fwlink/?linkid=870924
Comment:
    Defaults at 5Star. Otehr options here https://wels.agriculture.gov.au/wels-public/action/search-product-load?src=menu&amp;code=DISHWASH</t>
      </text>
    </comment>
    <comment ref="G27" authorId="13" shapeId="0" xr:uid="{E5144BF1-A054-FC46-9E60-F1A7FCA2AADA}">
      <text>
        <t xml:space="preserve">[Threaded comment]
Your version of Excel allows you to read this threaded comment; however, any edits to it will get removed if the file is opened in a newer version of Excel. Learn more: https://go.microsoft.com/fwlink/?linkid=870924
Comment:
    Default 8 Star heat pump dryer. Other options here 
https://reg.energyrating.gov.au/comparator/product_types/35/search/?expired_products=on
</t>
      </text>
    </comment>
    <comment ref="A28" authorId="14" shapeId="0" xr:uid="{97647B96-74DA-5E47-97ED-B263DC27AD2D}">
      <text>
        <t>[Threaded comment]
Your version of Excel allows you to read this threaded comment; however, any edits to it will get removed if the file is opened in a newer version of Excel. Learn more: https://go.microsoft.com/fwlink/?linkid=870924
Comment:
    Assumed to be LED.</t>
      </text>
    </comment>
    <comment ref="A32" authorId="15" shapeId="0" xr:uid="{2E954BA5-16C5-374C-BE8F-D5F46CBCC292}">
      <text>
        <t xml:space="preserve">[Threaded comment]
Your version of Excel allows you to read this threaded comment; however, any edits to it will get removed if the file is opened in a newer version of Excel. Learn more: https://go.microsoft.com/fwlink/?linkid=870924
Comment:
    This is the discrepancy between projected and actual performance (it varies but is very real). This tool defaults to 5% for Passivhaus, 50% for NatHERS. The number can be manually overridden if you have better information.
For more information see CarbonBuzz:
http://www.carbonbuzz.org/index.jsp
 </t>
      </text>
    </comment>
    <comment ref="E44" authorId="16" shapeId="0" xr:uid="{B74C3856-B3E7-D34A-BE2D-99C683132557}">
      <text>
        <t>[Threaded comment]
Your version of Excel allows you to read this threaded comment; however, any edits to it will get removed if the file is opened in a newer version of Excel. Learn more: https://go.microsoft.com/fwlink/?linkid=870924
Comment:
    defaults for a 4Star toilet. https://wels.agriculture.gov.au/wels-public/action/search-product-load?src=menu&amp;code=LAVEQUIP</t>
      </text>
    </comment>
  </commentList>
</comments>
</file>

<file path=xl/sharedStrings.xml><?xml version="1.0" encoding="utf-8"?>
<sst xmlns="http://schemas.openxmlformats.org/spreadsheetml/2006/main" count="296" uniqueCount="191">
  <si>
    <t>Water</t>
  </si>
  <si>
    <t>kWh/m2/yr</t>
  </si>
  <si>
    <t>l/per/day</t>
  </si>
  <si>
    <t>Heating/cooling demand</t>
  </si>
  <si>
    <t>House occupancy</t>
  </si>
  <si>
    <t>people</t>
  </si>
  <si>
    <t>litres/day</t>
  </si>
  <si>
    <t>Showerhead</t>
  </si>
  <si>
    <t>litres/min</t>
  </si>
  <si>
    <t>Shower length (average)</t>
  </si>
  <si>
    <t>minutes</t>
  </si>
  <si>
    <t>ea</t>
  </si>
  <si>
    <t>Showers per person per day</t>
  </si>
  <si>
    <t>Water (projected)</t>
  </si>
  <si>
    <t>Operational Energy (projected)</t>
  </si>
  <si>
    <t>Passive House Planning Package</t>
  </si>
  <si>
    <t>m2</t>
  </si>
  <si>
    <t>NatHERS</t>
  </si>
  <si>
    <t>Heating demand</t>
  </si>
  <si>
    <t>Cooling demand</t>
  </si>
  <si>
    <t xml:space="preserve"> kWh/(m2yr)</t>
  </si>
  <si>
    <t>MJ/(m2/yr)</t>
  </si>
  <si>
    <t>DHW generation</t>
  </si>
  <si>
    <t>Household electricity</t>
  </si>
  <si>
    <t>Dehumidifcation demand</t>
  </si>
  <si>
    <t>Floor area (conditioned)</t>
  </si>
  <si>
    <t>heat pump</t>
  </si>
  <si>
    <t>instant gas</t>
  </si>
  <si>
    <t>gas storage</t>
  </si>
  <si>
    <t>electric storage</t>
  </si>
  <si>
    <t>Hot water for showers</t>
  </si>
  <si>
    <t>litres 60ºC water</t>
  </si>
  <si>
    <t xml:space="preserve">Showers </t>
  </si>
  <si>
    <t>Other</t>
  </si>
  <si>
    <t>Hand washing (general) per person per day</t>
  </si>
  <si>
    <t>Hot water for washing up</t>
  </si>
  <si>
    <t>Hot water for hand washing</t>
  </si>
  <si>
    <t>Lighting -average lamp efficiency</t>
  </si>
  <si>
    <t>lumen/watts</t>
  </si>
  <si>
    <t>Lighting</t>
  </si>
  <si>
    <t>Consumer electronics</t>
  </si>
  <si>
    <t>Number of fridges</t>
  </si>
  <si>
    <t>Number of fridge freezers</t>
  </si>
  <si>
    <t>Number of freezers</t>
  </si>
  <si>
    <t>Fridges</t>
  </si>
  <si>
    <t>Freezers</t>
  </si>
  <si>
    <t>Fridge freezers</t>
  </si>
  <si>
    <t>kWh/year</t>
  </si>
  <si>
    <t>Climate no.</t>
  </si>
  <si>
    <t>Coefficients</t>
  </si>
  <si>
    <t>f</t>
  </si>
  <si>
    <t>e</t>
  </si>
  <si>
    <t>d</t>
  </si>
  <si>
    <t>c</t>
  </si>
  <si>
    <t>b</t>
  </si>
  <si>
    <t>a</t>
  </si>
  <si>
    <t>NatHERS climate zone</t>
  </si>
  <si>
    <t>Heating/cooling energy (uncorrected)</t>
  </si>
  <si>
    <t>Heating/cooling energy (corrected)</t>
  </si>
  <si>
    <t>Correction factor</t>
  </si>
  <si>
    <t>Software:</t>
  </si>
  <si>
    <t>Washing up (hand per household)</t>
  </si>
  <si>
    <t>Toilets</t>
  </si>
  <si>
    <t>Washing machine</t>
  </si>
  <si>
    <t>Dishwasher</t>
  </si>
  <si>
    <t>Hot water total/day</t>
  </si>
  <si>
    <t>MJ/yr/200 litres</t>
  </si>
  <si>
    <t>MJ/litre</t>
  </si>
  <si>
    <t>kWh/litre</t>
  </si>
  <si>
    <t>kwh/year</t>
  </si>
  <si>
    <t>https://www.rheem.com.au/help/running-cost-calculator#</t>
  </si>
  <si>
    <t>kWh/yr/200litres</t>
  </si>
  <si>
    <t>https://reg.energyrating.gov.au/comparator/product_types/</t>
  </si>
  <si>
    <t>On this project</t>
  </si>
  <si>
    <t>Half flush (L)</t>
  </si>
  <si>
    <t>Full flush (L)</t>
  </si>
  <si>
    <t>per pers/day</t>
  </si>
  <si>
    <t>uses/week</t>
  </si>
  <si>
    <t>L/use</t>
  </si>
  <si>
    <t>Clothes drying (machine)</t>
  </si>
  <si>
    <t>HIDE BELOW HERE</t>
  </si>
  <si>
    <t>Is my house on fire?</t>
  </si>
  <si>
    <t>is my house on fire</t>
  </si>
  <si>
    <t>l/day</t>
  </si>
  <si>
    <t>Performance gap</t>
  </si>
  <si>
    <t>Operational Energy (projected w Performance Gap)</t>
  </si>
  <si>
    <t>Electricity only</t>
  </si>
  <si>
    <t>Small appliances</t>
  </si>
  <si>
    <t>watts</t>
  </si>
  <si>
    <t>Ceiling fans</t>
  </si>
  <si>
    <t>hours /day</t>
  </si>
  <si>
    <t>days/year</t>
  </si>
  <si>
    <t>Cooking</t>
  </si>
  <si>
    <t>Gas</t>
  </si>
  <si>
    <t>Electric</t>
  </si>
  <si>
    <t>Induction</t>
  </si>
  <si>
    <t>kWh/use</t>
  </si>
  <si>
    <t>Water (RIBA target)</t>
  </si>
  <si>
    <t>Operational Energy (RIBA target, adjusted for house size)</t>
  </si>
  <si>
    <t>Operational Energy (RIBA target)</t>
  </si>
  <si>
    <t>Treated Floor Area (TFA)</t>
  </si>
  <si>
    <t>Floor area</t>
  </si>
  <si>
    <t xml:space="preserve">Floor area (total) </t>
  </si>
  <si>
    <t>Floor area in calculations</t>
  </si>
  <si>
    <t>Cooking &amp; food preparation (per household)</t>
  </si>
  <si>
    <t>Irrigation, car washing, other  (per household)</t>
  </si>
  <si>
    <t>Nice!</t>
  </si>
  <si>
    <t>We know they're space efficient but really?</t>
  </si>
  <si>
    <t>Gas is a 19th Century fuel, heat pump is the way to go</t>
  </si>
  <si>
    <t>Thanks for choosing electricity, you'll probably get better value with a heat pump!</t>
  </si>
  <si>
    <t>Project name:</t>
  </si>
  <si>
    <t>Sample #1</t>
  </si>
  <si>
    <t>Software</t>
  </si>
  <si>
    <t>Projected energy use</t>
  </si>
  <si>
    <t>Electricty cost</t>
  </si>
  <si>
    <t>per day</t>
  </si>
  <si>
    <t>per kWh</t>
  </si>
  <si>
    <t>Operational Energy (RIBA 2030 target)</t>
  </si>
  <si>
    <t>Operational Energy (RIBA 2030 target, adjusted for house size)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</si>
  <si>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</si>
  <si>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</si>
  <si>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</si>
  <si>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</si>
  <si>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</si>
  <si>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</si>
  <si>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</si>
  <si>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</si>
  <si>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</si>
  <si>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</si>
  <si>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</si>
  <si>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</si>
  <si>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</si>
  <si>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</si>
  <si>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</si>
  <si>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</si>
  <si>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</si>
  <si>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</si>
  <si>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</si>
  <si>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</si>
  <si>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</si>
  <si>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</si>
  <si>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</si>
  <si>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</si>
  <si>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</si>
  <si>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</si>
  <si>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</si>
  <si>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</si>
  <si>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</si>
  <si>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</si>
  <si>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No performance gap</t>
  </si>
  <si>
    <t>With performance gap</t>
  </si>
  <si>
    <t>ELECTRICTY RESULTS</t>
  </si>
  <si>
    <t>Energy price increase (%) per year</t>
  </si>
  <si>
    <t>Water usage</t>
  </si>
  <si>
    <t>litres/person/day</t>
  </si>
  <si>
    <t>ELECTRICITY</t>
  </si>
  <si>
    <t>This is intended as a brief guide to the diffenrces between PHPP and NatHERS. It is not comprehensive.</t>
  </si>
  <si>
    <t>PHPP</t>
  </si>
  <si>
    <t>Comfort</t>
  </si>
  <si>
    <t>18-28ºC. Upper limit varies by climate</t>
  </si>
  <si>
    <t>Defined as 20-25ºC year round regardless of climate. Maximum summer relative humidity 70% @25ºC</t>
  </si>
  <si>
    <t>Assumes entire home is always maintained at a comfortable temperature</t>
  </si>
  <si>
    <t>Assuems bedrooms are only heated at night and bathrooms are never heated</t>
  </si>
  <si>
    <t>Thermal bridges are modelled and accounted for</t>
  </si>
  <si>
    <t>Thermal bridges are not considered</t>
  </si>
  <si>
    <t>Thermal bridges</t>
  </si>
  <si>
    <t>Climate files</t>
  </si>
  <si>
    <t>Last updated in 2010</t>
  </si>
  <si>
    <t>Updated as when evidence suggests they need it</t>
  </si>
  <si>
    <t>Occupant Behaviour</t>
  </si>
  <si>
    <t>Can be accounted for, certification process ensures it is realistic</t>
  </si>
  <si>
    <t>Pre-determiend, cannot be changed</t>
  </si>
  <si>
    <t>Air tightness/building sealing</t>
  </si>
  <si>
    <t>Tested upon completion, must be 0.6ACH50 or less</t>
  </si>
  <si>
    <t>Modelled only, no fixed value but approimately equivilent to 10ACH50</t>
  </si>
  <si>
    <t>Area correction factor</t>
  </si>
  <si>
    <t>No</t>
  </si>
  <si>
    <t>Star Ratings</t>
  </si>
  <si>
    <t>Classic, Plus, Premium consistent metrics globally</t>
  </si>
  <si>
    <t>Star bands vary by climate. A 6 star home in Darwin uses 9x the heating/cooling energy of a 6 Star home in Sydney.</t>
  </si>
  <si>
    <t>Yes. Intennded to avoid penalising smaller buildings for greater durafce are to volume ratio. Makes direct comparisons complex</t>
  </si>
  <si>
    <t>Overheating</t>
  </si>
  <si>
    <t>Heating &amp; Cooling numbers</t>
  </si>
  <si>
    <t>EITHER, if cooling devices modelled assumed to be zero overheating OR if no cooling device then a maximum of 10% of hours of the year over 25ºC</t>
  </si>
  <si>
    <t>Assuming a cooling device is turned on when maximum acceptable temperature is reached (varies by climate to a maximum of 28ºC</t>
  </si>
  <si>
    <t>The amount of energy required to keep the buidling within the Comfort Band</t>
  </si>
  <si>
    <t>Comfort Band</t>
  </si>
  <si>
    <t>Greta Thunberg "Our House is on Fire"</t>
  </si>
  <si>
    <t>Performance Gap</t>
  </si>
  <si>
    <t>This is the discrepancy between projected and actual performance (it varies but is very real). This tool defaults to 5% for Passivhaus, 50% for NatHERS. The number can be manually overridden if you have better information.
For more information see CarbonBuzz:
http://www.carbonbuzz.org/index.jsp</t>
  </si>
  <si>
    <r>
      <rPr>
        <b/>
        <sz val="12"/>
        <color theme="1"/>
        <rFont val="Lato Regular"/>
      </rPr>
      <t>Instructions:</t>
    </r>
    <r>
      <rPr>
        <sz val="12"/>
        <color theme="1"/>
        <rFont val="Lato Regular"/>
      </rPr>
      <t xml:space="preserve">
1. Use this tool during the deisgn phase to determine if your house is on fire:
2. Select the software used for thermal analysis
3. Ensure all coloured cells are filled in (use 0 if needed), use EITHER PHPP or NatHERS; the selection in cell A4 determines which number are plotted on the graphs. The comment tabs gives specific instructions as needed. 
4. Most defaults are representative of fairly good performance, adjust as needed
5. See graphs for building performance
6. Electrity cost projections are to the right of the energy/water projections.
7. Rainwater tanks and rooftop PV have been deliberately excluded as they should be used only once an efficient building has been designed.
8. Please use this tool to make better buildings.
9. For an explanation of the terms see Explanation tab and the post at https://passivhausdc.com.au/passive-house-future-ready/
Feedback warmly welcomed: hello@passivhausdc.com.au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</si>
</sst>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000000000000000000000"/>
    <numFmt numFmtId="166" formatCode="0.0%"/>
  </numFmts>
  <fonts count="20">
    <font>
      <sz val="12"/>
      <color theme="1"/>
      <name val="Calibri"/>
      <family val="2"/>
      <scheme val="minor"/>
    </font>
    <font>
      <sz val="10"/>
      <name val="MS Sans Serif"/>
      <family val="2"/>
    </font>
    <font>
      <sz val="12"/>
      <color theme="1"/>
      <name val="Calibri"/>
      <family val="2"/>
      <scheme val="minor"/>
    </font>
    <font>
      <u/>
      <sz val="12"/>
      <color theme="10"/>
      <name val="Calibri"/>
      <family val="2"/>
      <scheme val="minor"/>
    </font>
    <font>
      <sz val="10"/>
      <name val="Arial"/>
      <family val="2"/>
    </font>
    <font>
      <sz val="10"/>
      <name val="Arial Narrow"/>
      <family val="2"/>
    </font>
    <font>
      <sz val="10"/>
      <color rgb="FF800000"/>
      <name val="Arial"/>
      <family val="2"/>
    </font>
    <font>
      <sz val="12"/>
      <color theme="1"/>
      <name val="Lato Regular"/>
    </font>
    <font>
      <b/>
      <sz val="12"/>
      <color theme="1"/>
      <name val="Lato Regular"/>
    </font>
    <font>
      <b/>
      <sz val="14"/>
      <color rgb="FF000000"/>
      <name val="Lato Regular"/>
    </font>
    <font>
      <sz val="11"/>
      <color theme="1"/>
      <name val="Lato Regular"/>
    </font>
    <font>
      <b/>
      <sz val="11"/>
      <color rgb="FF000000"/>
      <name val="Lato Regular"/>
    </font>
    <font>
      <sz val="11"/>
      <color rgb="FF000000"/>
      <name val="Lato Regular"/>
    </font>
    <font>
      <u/>
      <sz val="12"/>
      <color theme="10"/>
      <name val="Lato Regular"/>
    </font>
    <font>
      <sz val="26"/>
      <color theme="1"/>
      <name val="Lato Regular"/>
    </font>
    <font>
      <b/>
      <sz val="26"/>
      <color theme="1"/>
      <name val="Lato Regular"/>
    </font>
    <font>
      <b/>
      <sz val="11"/>
      <color theme="1"/>
      <name val="Lato Regular"/>
    </font>
    <font>
      <b/>
      <sz val="12"/>
      <color theme="1"/>
      <name val="Calibri"/>
      <family val="2"/>
      <scheme val="minor"/>
    </font>
    <font>
      <sz val="10"/>
      <color theme="1"/>
      <name val="Calibri"/>
      <family val="2"/>
      <scheme val="minor"/>
    </font>
    <font>
      <sz val="12"/>
      <color rgb="FF3F3F3F"/>
      <name val="Helvetica"/>
      <family val="2"/>
    </font>
  </fonts>
  <fills count="5">
    <fill>
      <patternFill patternType="none"/>
    </fill>
    <fill>
      <patternFill patternType="gray125"/>
    </fill>
    <fill>
      <patternFill patternType="solid">
        <fgColor rgb="FFFFFF99"/>
        <bgColor rgb="FF000000"/>
      </patternFill>
    </fill>
    <fill>
      <patternFill patternType="solid">
        <fgColor rgb="FFFFFF00"/>
        <bgColor indexed="64"/>
      </patternFill>
    </fill>
    <fill>
      <patternFill patternType="solid">
        <fgColor rgb="FFFFFFCC"/>
        <bgColor indexed="64"/>
      </patternFill>
    </fill>
  </fills>
  <borders count="1">
    <border>
      <left/>
      <right/>
      <top/>
      <bottom/>
      <diagonal/>
    </border>
  </borders>
  <cellStyleXfs count="5">
    <xf numFmtId="0" fontId="0" fillId="0" borderId="0"/>
    <xf numFmtId="0" fontId="1" fillId="0" borderId="0"/>
    <xf numFmtId="9" fontId="2" fillId="0" borderId="0" applyFont="0" applyFill="0" applyBorder="0" applyAlignment="0" applyProtection="0"/>
    <xf numFmtId="0" fontId="3" fillId="0" borderId="0" applyNumberFormat="0" applyFill="0" applyBorder="0" applyAlignment="0" applyProtection="0"/>
    <xf numFmtId="44" fontId="2" fillId="0" borderId="0" applyFont="0" applyFill="0" applyBorder="0" applyAlignment="0" applyProtection="0"/>
  </cellStyleXfs>
  <cellXfs count="50">
    <xf numFmtId="0" fontId="0" fillId="0" borderId="0" xfId="0"/>
    <xf numFmtId="0" fontId="4" fillId="0" borderId="0" xfId="0" applyFont="1"/>
    <xf numFmtId="165" fontId="6" fillId="2" borderId="0" xfId="0" applyNumberFormat="1" applyFont="1" applyFill="1"/>
    <xf numFmtId="166" fontId="4" fillId="0" borderId="0" xfId="0" applyNumberFormat="1" applyFont="1"/>
    <xf numFmtId="166" fontId="5" fillId="0" borderId="0" xfId="0" applyNumberFormat="1" applyFont="1"/>
    <xf numFmtId="166" fontId="2" fillId="0" borderId="0" xfId="2" applyNumberFormat="1"/>
    <xf numFmtId="166" fontId="0" fillId="0" borderId="0" xfId="0" applyNumberFormat="1"/>
    <xf numFmtId="0" fontId="7" fillId="0" borderId="0" xfId="0" applyFont="1"/>
    <xf numFmtId="0" fontId="9" fillId="0" borderId="0" xfId="0" applyFont="1"/>
    <xf numFmtId="0" fontId="10" fillId="0" borderId="0" xfId="0" applyFont="1"/>
    <xf numFmtId="164" fontId="10" fillId="0" borderId="0" xfId="0" applyNumberFormat="1" applyFont="1"/>
    <xf numFmtId="0" fontId="11" fillId="0" borderId="0" xfId="0" applyFont="1"/>
    <xf numFmtId="0" fontId="12" fillId="0" borderId="0" xfId="0" applyFont="1"/>
    <xf numFmtId="0" fontId="8" fillId="0" borderId="0" xfId="0" applyFont="1"/>
    <xf numFmtId="164" fontId="7" fillId="0" borderId="0" xfId="0" applyNumberFormat="1" applyFont="1"/>
    <xf numFmtId="0" fontId="13" fillId="0" borderId="0" xfId="3" applyFont="1"/>
    <xf numFmtId="0" fontId="8" fillId="3" borderId="0" xfId="0" applyFont="1" applyFill="1"/>
    <xf numFmtId="2" fontId="7" fillId="0" borderId="0" xfId="0" applyNumberFormat="1" applyFont="1"/>
    <xf numFmtId="2" fontId="8" fillId="0" borderId="0" xfId="0" applyNumberFormat="1" applyFont="1"/>
    <xf numFmtId="17" fontId="8" fillId="0" borderId="0" xfId="0" applyNumberFormat="1" applyFont="1"/>
    <xf numFmtId="0" fontId="7" fillId="0" borderId="0" xfId="0" applyFont="1" applyAlignment="1">
      <alignment horizontal="right"/>
    </xf>
    <xf numFmtId="17" fontId="7" fillId="0" borderId="0" xfId="0" applyNumberFormat="1" applyFont="1"/>
    <xf numFmtId="0" fontId="16" fillId="0" borderId="0" xfId="0" applyFont="1"/>
    <xf numFmtId="0" fontId="7" fillId="0" borderId="0" xfId="0" applyFont="1" applyAlignment="1">
      <alignment wrapText="1"/>
    </xf>
    <xf numFmtId="9" fontId="7" fillId="4" borderId="0" xfId="2" applyFont="1" applyFill="1" applyProtection="1">
      <protection locked="0"/>
    </xf>
    <xf numFmtId="0" fontId="7" fillId="4" borderId="0" xfId="0" applyFont="1" applyFill="1" applyProtection="1">
      <protection locked="0"/>
    </xf>
    <xf numFmtId="0" fontId="10" fillId="4" borderId="0" xfId="0" applyFont="1" applyFill="1" applyProtection="1">
      <protection locked="0"/>
    </xf>
    <xf numFmtId="164" fontId="7" fillId="4" borderId="0" xfId="0" applyNumberFormat="1" applyFont="1" applyFill="1" applyProtection="1">
      <protection locked="0"/>
    </xf>
    <xf numFmtId="0" fontId="9" fillId="4" borderId="0" xfId="0" applyFont="1" applyFill="1" applyProtection="1">
      <protection locked="0"/>
    </xf>
    <xf numFmtId="0" fontId="7" fillId="0" borderId="0" xfId="0" applyFont="1" applyFill="1"/>
    <xf numFmtId="0" fontId="7" fillId="0" borderId="0" xfId="0" applyFont="1" applyFill="1" applyProtection="1">
      <protection locked="0"/>
    </xf>
    <xf numFmtId="44" fontId="0" fillId="0" borderId="0" xfId="4" applyFont="1"/>
    <xf numFmtId="0" fontId="17" fillId="0" borderId="0" xfId="0" applyFont="1"/>
    <xf numFmtId="44" fontId="0" fillId="0" borderId="0" xfId="0" applyNumberFormat="1"/>
    <xf numFmtId="0" fontId="18" fillId="0" borderId="0" xfId="0" applyFont="1"/>
    <xf numFmtId="9" fontId="0" fillId="0" borderId="0" xfId="2" applyFont="1"/>
    <xf numFmtId="0" fontId="8" fillId="0" borderId="0" xfId="0" applyFont="1" applyAlignment="1">
      <alignment wrapText="1"/>
    </xf>
    <xf numFmtId="44" fontId="17" fillId="0" borderId="0" xfId="0" applyNumberFormat="1" applyFont="1"/>
    <xf numFmtId="0" fontId="7" fillId="0" borderId="0" xfId="0" applyFont="1" applyAlignment="1">
      <alignment horizontal="left" vertical="top" wrapText="1"/>
    </xf>
    <xf numFmtId="0" fontId="7" fillId="0" borderId="0" xfId="0" applyFont="1" applyFill="1" applyAlignment="1">
      <alignment wrapText="1"/>
    </xf>
    <xf numFmtId="0" fontId="8" fillId="0" borderId="0" xfId="0" applyFont="1" applyFill="1" applyAlignment="1">
      <alignment wrapText="1"/>
    </xf>
    <xf numFmtId="0" fontId="3" fillId="0" borderId="0" xfId="3" applyAlignment="1">
      <alignment horizontal="left" vertical="top" wrapText="1"/>
    </xf>
    <xf numFmtId="0" fontId="19" fillId="0" borderId="0" xfId="0" applyFont="1"/>
    <xf numFmtId="0" fontId="3" fillId="0" borderId="0" xfId="3" applyAlignment="1">
      <alignment wrapText="1"/>
    </xf>
    <xf numFmtId="0" fontId="15"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pplyProtection="1">
      <alignment horizontal="left" vertical="top" wrapText="1"/>
      <protection locked="0"/>
    </xf>
  </cellXfs>
  <cellStyles count="5">
    <cellStyle name="Currency" xfId="4" builtinId="4"/>
    <cellStyle name="Hyperlink" xfId="3" builtinId="8"/>
    <cellStyle name="Normal" xfId="0" builtinId="0"/>
    <cellStyle name="Per cent" xfId="2" builtinId="5"/>
    <cellStyle name="Standard_HWB Kurzverf. Formular" xfId="1" xr:uid="{50C31496-CEC5-9640-931A-1D3AB41D94F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Lato" panose="020F0502020204030203" pitchFamily="34" charset="77"/>
                <a:ea typeface="+mn-ea"/>
                <a:cs typeface="+mn-cs"/>
              </a:defRPr>
            </a:pPr>
            <a:r>
              <a:rPr lang="en-GB">
                <a:latin typeface="Lato" panose="020F0502020204030203" pitchFamily="34" charset="77"/>
              </a:rPr>
              <a:t>Operational Energy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Lato" panose="020F0502020204030203" pitchFamily="34" charset="77"/>
              <a:ea typeface="+mn-ea"/>
              <a:cs typeface="+mn-cs"/>
            </a:defRPr>
          </a:pPr>
          <a:endParaRPr lang="en-US"/>
        </a:p>
      </c:txPr>
    </c:title>
    <c:autoTitleDeleted val="0"/>
    <c:plotArea>
      <c:layout/>
      <c:lineChart>
        <c:grouping val="standard"/>
        <c:varyColors val="0"/>
        <c:ser>
          <c:idx val="0"/>
          <c:order val="0"/>
          <c:tx>
            <c:strRef>
              <c:f>'Data entry'!$M$4</c:f>
              <c:strCache>
                <c:ptCount val="1"/>
                <c:pt idx="0">
                  <c:v>Operational Energy (RIBA target, adjusted for house size)</c:v>
                </c:pt>
              </c:strCache>
            </c:strRef>
          </c:tx>
          <c:spPr>
            <a:ln w="31750" cap="rnd">
              <a:solidFill>
                <a:schemeClr val="accent1"/>
              </a:solidFill>
              <a:prstDash val="sysDash"/>
              <a:round/>
            </a:ln>
            <a:effectLst/>
          </c:spPr>
          <c:marker>
            <c:symbol val="none"/>
          </c:marker>
          <c:cat>
            <c:numRef>
              <c:f>'Data entry'!$K$5:$K$12</c:f>
              <c:numCache>
                <c:formatCode>mmm\-yy</c:formatCode>
                <c:ptCount val="8"/>
                <c:pt idx="0">
                  <c:v>43831</c:v>
                </c:pt>
                <c:pt idx="3">
                  <c:v>45627</c:v>
                </c:pt>
                <c:pt idx="4">
                  <c:v>45658</c:v>
                </c:pt>
                <c:pt idx="5">
                  <c:v>47453</c:v>
                </c:pt>
                <c:pt idx="6">
                  <c:v>47484</c:v>
                </c:pt>
                <c:pt idx="7">
                  <c:v>47849</c:v>
                </c:pt>
              </c:numCache>
            </c:numRef>
          </c:cat>
          <c:val>
            <c:numRef>
              <c:f>'Data entry'!$M$5:$M$12</c:f>
              <c:numCache>
                <c:formatCode>General</c:formatCode>
                <c:ptCount val="8"/>
                <c:pt idx="0">
                  <c:v>52.644628099173552</c:v>
                </c:pt>
                <c:pt idx="3">
                  <c:v>52.644628099173552</c:v>
                </c:pt>
                <c:pt idx="4">
                  <c:v>35.096418732782368</c:v>
                </c:pt>
                <c:pt idx="5">
                  <c:v>35.096418732782368</c:v>
                </c:pt>
                <c:pt idx="6">
                  <c:v>17.548209366391184</c:v>
                </c:pt>
                <c:pt idx="7">
                  <c:v>17.548209366391184</c:v>
                </c:pt>
              </c:numCache>
            </c:numRef>
          </c:val>
          <c:smooth val="0"/>
          <c:extLst>
            <c:ext xmlns:c16="http://schemas.microsoft.com/office/drawing/2014/chart" uri="{C3380CC4-5D6E-409C-BE32-E72D297353CC}">
              <c16:uniqueId val="{00000000-CF53-5F47-9513-DA501CC121A7}"/>
            </c:ext>
          </c:extLst>
        </c:ser>
        <c:ser>
          <c:idx val="1"/>
          <c:order val="1"/>
          <c:tx>
            <c:strRef>
              <c:f>'Data entry'!$N$4</c:f>
              <c:strCache>
                <c:ptCount val="1"/>
                <c:pt idx="0">
                  <c:v>Operational Energy (projected)</c:v>
                </c:pt>
              </c:strCache>
            </c:strRef>
          </c:tx>
          <c:spPr>
            <a:ln w="31750" cap="rnd">
              <a:solidFill>
                <a:schemeClr val="accent2"/>
              </a:solidFill>
              <a:round/>
            </a:ln>
            <a:effectLst/>
          </c:spPr>
          <c:marker>
            <c:symbol val="none"/>
          </c:marker>
          <c:cat>
            <c:numRef>
              <c:f>'Data entry'!$K$5:$K$12</c:f>
              <c:numCache>
                <c:formatCode>mmm\-yy</c:formatCode>
                <c:ptCount val="8"/>
                <c:pt idx="0">
                  <c:v>43831</c:v>
                </c:pt>
                <c:pt idx="3">
                  <c:v>45627</c:v>
                </c:pt>
                <c:pt idx="4">
                  <c:v>45658</c:v>
                </c:pt>
                <c:pt idx="5">
                  <c:v>47453</c:v>
                </c:pt>
                <c:pt idx="6">
                  <c:v>47484</c:v>
                </c:pt>
                <c:pt idx="7">
                  <c:v>47849</c:v>
                </c:pt>
              </c:numCache>
            </c:numRef>
          </c:cat>
          <c:val>
            <c:numRef>
              <c:f>'Data entry'!$N$5:$N$12</c:f>
              <c:numCache>
                <c:formatCode>0.0</c:formatCode>
                <c:ptCount val="8"/>
                <c:pt idx="0">
                  <c:v>82.306181494485614</c:v>
                </c:pt>
                <c:pt idx="3">
                  <c:v>82.306181494485614</c:v>
                </c:pt>
                <c:pt idx="4">
                  <c:v>82.306181494485614</c:v>
                </c:pt>
                <c:pt idx="5">
                  <c:v>82.306181494485614</c:v>
                </c:pt>
                <c:pt idx="6">
                  <c:v>82.306181494485614</c:v>
                </c:pt>
                <c:pt idx="7">
                  <c:v>82.306181494485614</c:v>
                </c:pt>
              </c:numCache>
            </c:numRef>
          </c:val>
          <c:smooth val="0"/>
          <c:extLst>
            <c:ext xmlns:c16="http://schemas.microsoft.com/office/drawing/2014/chart" uri="{C3380CC4-5D6E-409C-BE32-E72D297353CC}">
              <c16:uniqueId val="{00000001-CF53-5F47-9513-DA501CC121A7}"/>
            </c:ext>
          </c:extLst>
        </c:ser>
        <c:ser>
          <c:idx val="2"/>
          <c:order val="2"/>
          <c:tx>
            <c:strRef>
              <c:f>'Data entry'!$O$4</c:f>
              <c:strCache>
                <c:ptCount val="1"/>
                <c:pt idx="0">
                  <c:v>Operational Energy (projected w Performance Gap)</c:v>
                </c:pt>
              </c:strCache>
            </c:strRef>
          </c:tx>
          <c:spPr>
            <a:ln w="31750" cap="rnd">
              <a:solidFill>
                <a:schemeClr val="accent3"/>
              </a:solidFill>
              <a:prstDash val="sysDot"/>
              <a:round/>
            </a:ln>
            <a:effectLst/>
          </c:spPr>
          <c:marker>
            <c:symbol val="none"/>
          </c:marker>
          <c:val>
            <c:numRef>
              <c:f>'Data entry'!$O$5:$O$12</c:f>
              <c:numCache>
                <c:formatCode>General</c:formatCode>
                <c:ptCount val="8"/>
                <c:pt idx="0">
                  <c:v>123.45927224172843</c:v>
                </c:pt>
                <c:pt idx="3">
                  <c:v>123.45927224172843</c:v>
                </c:pt>
                <c:pt idx="4">
                  <c:v>123.45927224172843</c:v>
                </c:pt>
                <c:pt idx="5">
                  <c:v>123.45927224172843</c:v>
                </c:pt>
                <c:pt idx="6">
                  <c:v>123.45927224172843</c:v>
                </c:pt>
                <c:pt idx="7">
                  <c:v>123.45927224172843</c:v>
                </c:pt>
              </c:numCache>
            </c:numRef>
          </c:val>
          <c:smooth val="0"/>
          <c:extLst>
            <c:ext xmlns:c16="http://schemas.microsoft.com/office/drawing/2014/chart" uri="{C3380CC4-5D6E-409C-BE32-E72D297353CC}">
              <c16:uniqueId val="{00000002-CF53-5F47-9513-DA501CC121A7}"/>
            </c:ext>
          </c:extLst>
        </c:ser>
        <c:ser>
          <c:idx val="3"/>
          <c:order val="3"/>
          <c:tx>
            <c:strRef>
              <c:f>'Data entry'!$L$4</c:f>
              <c:strCache>
                <c:ptCount val="1"/>
                <c:pt idx="0">
                  <c:v>Operational Energy (RIBA target)</c:v>
                </c:pt>
              </c:strCache>
            </c:strRef>
          </c:tx>
          <c:spPr>
            <a:ln w="31750" cap="rnd">
              <a:solidFill>
                <a:schemeClr val="accent4"/>
              </a:solidFill>
              <a:round/>
            </a:ln>
            <a:effectLst/>
          </c:spPr>
          <c:marker>
            <c:symbol val="none"/>
          </c:marker>
          <c:val>
            <c:numRef>
              <c:f>'Data entry'!$L$5:$L$12</c:f>
              <c:numCache>
                <c:formatCode>General</c:formatCode>
                <c:ptCount val="8"/>
                <c:pt idx="0">
                  <c:v>105</c:v>
                </c:pt>
                <c:pt idx="3">
                  <c:v>105</c:v>
                </c:pt>
                <c:pt idx="4">
                  <c:v>70</c:v>
                </c:pt>
                <c:pt idx="5">
                  <c:v>70</c:v>
                </c:pt>
                <c:pt idx="6">
                  <c:v>35</c:v>
                </c:pt>
                <c:pt idx="7">
                  <c:v>35</c:v>
                </c:pt>
              </c:numCache>
            </c:numRef>
          </c:val>
          <c:smooth val="0"/>
          <c:extLst>
            <c:ext xmlns:c16="http://schemas.microsoft.com/office/drawing/2014/chart" uri="{C3380CC4-5D6E-409C-BE32-E72D297353CC}">
              <c16:uniqueId val="{00000000-C98E-D643-8E2A-90E5D01C9FC6}"/>
            </c:ext>
          </c:extLst>
        </c:ser>
        <c:dLbls>
          <c:showLegendKey val="0"/>
          <c:showVal val="0"/>
          <c:showCatName val="0"/>
          <c:showSerName val="0"/>
          <c:showPercent val="0"/>
          <c:showBubbleSize val="0"/>
        </c:dLbls>
        <c:smooth val="0"/>
        <c:axId val="1668997343"/>
        <c:axId val="1668998975"/>
      </c:lineChart>
      <c:dateAx>
        <c:axId val="166899734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77"/>
                <a:ea typeface="+mn-ea"/>
                <a:cs typeface="+mn-cs"/>
              </a:defRPr>
            </a:pPr>
            <a:endParaRPr lang="en-US"/>
          </a:p>
        </c:txPr>
        <c:crossAx val="1668998975"/>
        <c:crosses val="autoZero"/>
        <c:auto val="1"/>
        <c:lblOffset val="100"/>
        <c:baseTimeUnit val="months"/>
        <c:majorUnit val="12"/>
        <c:majorTimeUnit val="months"/>
        <c:minorUnit val="12"/>
        <c:minorTimeUnit val="months"/>
      </c:dateAx>
      <c:valAx>
        <c:axId val="16689989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Lato" panose="020F0502020204030203" pitchFamily="34" charset="77"/>
                    <a:ea typeface="+mn-ea"/>
                    <a:cs typeface="+mn-cs"/>
                  </a:defRPr>
                </a:pPr>
                <a:r>
                  <a:rPr lang="en-GB">
                    <a:latin typeface="Lato" panose="020F0502020204030203" pitchFamily="34" charset="77"/>
                  </a:rPr>
                  <a:t>kWh/m2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Lato" panose="020F0502020204030203" pitchFamily="34" charset="77"/>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997343"/>
        <c:crosses val="autoZero"/>
        <c:crossBetween val="between"/>
      </c:valAx>
      <c:spPr>
        <a:noFill/>
        <a:ln>
          <a:noFill/>
        </a:ln>
        <a:effectLst/>
      </c:spPr>
    </c:plotArea>
    <c:legend>
      <c:legendPos val="b"/>
      <c:layout>
        <c:manualLayout>
          <c:xMode val="edge"/>
          <c:yMode val="edge"/>
          <c:x val="6.6265217391304351E-2"/>
          <c:y val="0.90993772190812572"/>
          <c:w val="0.88587536231884056"/>
          <c:h val="8.9585344195589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77"/>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Lato" panose="020F0502020204030203" pitchFamily="34" charset="77"/>
                <a:ea typeface="+mn-ea"/>
                <a:cs typeface="+mn-cs"/>
              </a:defRPr>
            </a:pPr>
            <a:r>
              <a:rPr lang="en-GB">
                <a:latin typeface="Lato" panose="020F0502020204030203" pitchFamily="34" charset="77"/>
              </a:rPr>
              <a:t>Water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Lato" panose="020F0502020204030203" pitchFamily="34" charset="77"/>
              <a:ea typeface="+mn-ea"/>
              <a:cs typeface="+mn-cs"/>
            </a:defRPr>
          </a:pPr>
          <a:endParaRPr lang="en-US"/>
        </a:p>
      </c:txPr>
    </c:title>
    <c:autoTitleDeleted val="0"/>
    <c:plotArea>
      <c:layout/>
      <c:lineChart>
        <c:grouping val="standard"/>
        <c:varyColors val="0"/>
        <c:ser>
          <c:idx val="0"/>
          <c:order val="0"/>
          <c:tx>
            <c:strRef>
              <c:f>'Data entry'!$L$33</c:f>
              <c:strCache>
                <c:ptCount val="1"/>
                <c:pt idx="0">
                  <c:v>Water (RIBA target)</c:v>
                </c:pt>
              </c:strCache>
            </c:strRef>
          </c:tx>
          <c:spPr>
            <a:ln w="31750" cap="rnd">
              <a:solidFill>
                <a:schemeClr val="accent1"/>
              </a:solidFill>
              <a:round/>
            </a:ln>
            <a:effectLst/>
          </c:spPr>
          <c:marker>
            <c:symbol val="none"/>
          </c:marker>
          <c:cat>
            <c:numRef>
              <c:f>'Data entry'!$K$34:$K$41</c:f>
              <c:numCache>
                <c:formatCode>mmm\-yy</c:formatCode>
                <c:ptCount val="8"/>
                <c:pt idx="0">
                  <c:v>43831</c:v>
                </c:pt>
                <c:pt idx="1">
                  <c:v>45627</c:v>
                </c:pt>
                <c:pt idx="2">
                  <c:v>45658</c:v>
                </c:pt>
                <c:pt idx="3">
                  <c:v>47453</c:v>
                </c:pt>
                <c:pt idx="4">
                  <c:v>47484</c:v>
                </c:pt>
                <c:pt idx="7">
                  <c:v>47849</c:v>
                </c:pt>
              </c:numCache>
            </c:numRef>
          </c:cat>
          <c:val>
            <c:numRef>
              <c:f>'Data entry'!$L$34:$L$41</c:f>
              <c:numCache>
                <c:formatCode>General</c:formatCode>
                <c:ptCount val="8"/>
                <c:pt idx="0">
                  <c:v>110</c:v>
                </c:pt>
                <c:pt idx="1">
                  <c:v>110</c:v>
                </c:pt>
                <c:pt idx="2">
                  <c:v>95</c:v>
                </c:pt>
                <c:pt idx="3">
                  <c:v>95</c:v>
                </c:pt>
                <c:pt idx="4">
                  <c:v>75</c:v>
                </c:pt>
                <c:pt idx="7">
                  <c:v>75</c:v>
                </c:pt>
              </c:numCache>
            </c:numRef>
          </c:val>
          <c:smooth val="0"/>
          <c:extLst>
            <c:ext xmlns:c16="http://schemas.microsoft.com/office/drawing/2014/chart" uri="{C3380CC4-5D6E-409C-BE32-E72D297353CC}">
              <c16:uniqueId val="{00000000-5118-7D44-B909-573233FE2950}"/>
            </c:ext>
          </c:extLst>
        </c:ser>
        <c:ser>
          <c:idx val="1"/>
          <c:order val="1"/>
          <c:tx>
            <c:strRef>
              <c:f>'Data entry'!$M$33</c:f>
              <c:strCache>
                <c:ptCount val="1"/>
                <c:pt idx="0">
                  <c:v>Water (projected)</c:v>
                </c:pt>
              </c:strCache>
            </c:strRef>
          </c:tx>
          <c:spPr>
            <a:ln w="31750" cap="rnd">
              <a:solidFill>
                <a:schemeClr val="accent2"/>
              </a:solidFill>
              <a:round/>
            </a:ln>
            <a:effectLst/>
          </c:spPr>
          <c:marker>
            <c:symbol val="none"/>
          </c:marker>
          <c:cat>
            <c:numRef>
              <c:f>'Data entry'!$K$34:$K$41</c:f>
              <c:numCache>
                <c:formatCode>mmm\-yy</c:formatCode>
                <c:ptCount val="8"/>
                <c:pt idx="0">
                  <c:v>43831</c:v>
                </c:pt>
                <c:pt idx="1">
                  <c:v>45627</c:v>
                </c:pt>
                <c:pt idx="2">
                  <c:v>45658</c:v>
                </c:pt>
                <c:pt idx="3">
                  <c:v>47453</c:v>
                </c:pt>
                <c:pt idx="4">
                  <c:v>47484</c:v>
                </c:pt>
                <c:pt idx="7">
                  <c:v>47849</c:v>
                </c:pt>
              </c:numCache>
            </c:numRef>
          </c:cat>
          <c:val>
            <c:numRef>
              <c:f>'Data entry'!$M$34:$M$41</c:f>
              <c:numCache>
                <c:formatCode>0.0</c:formatCode>
                <c:ptCount val="8"/>
                <c:pt idx="0">
                  <c:v>109.50684931506849</c:v>
                </c:pt>
                <c:pt idx="1">
                  <c:v>109.50684931506849</c:v>
                </c:pt>
                <c:pt idx="2">
                  <c:v>109.50684931506849</c:v>
                </c:pt>
                <c:pt idx="3">
                  <c:v>109.50684931506849</c:v>
                </c:pt>
                <c:pt idx="4">
                  <c:v>109.50684931506849</c:v>
                </c:pt>
                <c:pt idx="7">
                  <c:v>109.50684931506849</c:v>
                </c:pt>
              </c:numCache>
            </c:numRef>
          </c:val>
          <c:smooth val="0"/>
          <c:extLst>
            <c:ext xmlns:c16="http://schemas.microsoft.com/office/drawing/2014/chart" uri="{C3380CC4-5D6E-409C-BE32-E72D297353CC}">
              <c16:uniqueId val="{00000001-5118-7D44-B909-573233FE2950}"/>
            </c:ext>
          </c:extLst>
        </c:ser>
        <c:dLbls>
          <c:showLegendKey val="0"/>
          <c:showVal val="0"/>
          <c:showCatName val="0"/>
          <c:showSerName val="0"/>
          <c:showPercent val="0"/>
          <c:showBubbleSize val="0"/>
        </c:dLbls>
        <c:smooth val="0"/>
        <c:axId val="1668997343"/>
        <c:axId val="1668998975"/>
      </c:lineChart>
      <c:dateAx>
        <c:axId val="166899734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77"/>
                <a:ea typeface="+mn-ea"/>
                <a:cs typeface="+mn-cs"/>
              </a:defRPr>
            </a:pPr>
            <a:endParaRPr lang="en-US"/>
          </a:p>
        </c:txPr>
        <c:crossAx val="1668998975"/>
        <c:crosses val="autoZero"/>
        <c:auto val="1"/>
        <c:lblOffset val="100"/>
        <c:baseTimeUnit val="months"/>
        <c:majorUnit val="12"/>
        <c:majorTimeUnit val="months"/>
        <c:minorUnit val="12"/>
        <c:minorTimeUnit val="months"/>
      </c:dateAx>
      <c:valAx>
        <c:axId val="16689989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Lato" panose="020F0502020204030203" pitchFamily="34" charset="77"/>
                    <a:ea typeface="+mn-ea"/>
                    <a:cs typeface="+mn-cs"/>
                  </a:defRPr>
                </a:pPr>
                <a:r>
                  <a:rPr lang="en-GB">
                    <a:latin typeface="Lato" panose="020F0502020204030203" pitchFamily="34" charset="77"/>
                  </a:rPr>
                  <a:t>litres/person day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Lato" panose="020F0502020204030203" pitchFamily="34" charset="77"/>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997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77"/>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Electricty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entry'!$Y$10</c:f>
              <c:strCache>
                <c:ptCount val="1"/>
                <c:pt idx="0">
                  <c:v>Operational Energy (projected)</c:v>
                </c:pt>
              </c:strCache>
            </c:strRef>
          </c:tx>
          <c:spPr>
            <a:ln w="28575" cap="rnd">
              <a:solidFill>
                <a:schemeClr val="accent1"/>
              </a:solidFill>
              <a:round/>
            </a:ln>
            <a:effectLst/>
          </c:spPr>
          <c:marker>
            <c:symbol val="none"/>
          </c:marker>
          <c:cat>
            <c:strRef>
              <c:f>'Data entry'!$Z$8:$BC$8</c:f>
              <c:strCache>
                <c:ptCount val="30"/>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pt idx="20">
                  <c:v>Year 21</c:v>
                </c:pt>
                <c:pt idx="21">
                  <c:v>Year 22</c:v>
                </c:pt>
                <c:pt idx="22">
                  <c:v>Year 23</c:v>
                </c:pt>
                <c:pt idx="23">
                  <c:v>Year 24</c:v>
                </c:pt>
                <c:pt idx="24">
                  <c:v>Year 25</c:v>
                </c:pt>
                <c:pt idx="25">
                  <c:v>Year 26</c:v>
                </c:pt>
                <c:pt idx="26">
                  <c:v>Year 27</c:v>
                </c:pt>
                <c:pt idx="27">
                  <c:v>Year 28</c:v>
                </c:pt>
                <c:pt idx="28">
                  <c:v>Year 29</c:v>
                </c:pt>
                <c:pt idx="29">
                  <c:v>Year 30</c:v>
                </c:pt>
              </c:strCache>
            </c:strRef>
          </c:cat>
          <c:val>
            <c:numRef>
              <c:f>'Data entry'!$Z$10:$BC$10</c:f>
              <c:numCache>
                <c:formatCode>_("$"* #,##0.00_);_("$"* \(#,##0.00\);_("$"* "-"??_);_(@_)</c:formatCode>
                <c:ptCount val="30"/>
                <c:pt idx="0">
                  <c:v>4846.5715823747414</c:v>
                </c:pt>
                <c:pt idx="1">
                  <c:v>9838.5403122207244</c:v>
                </c:pt>
                <c:pt idx="2">
                  <c:v>14980.268103962087</c:v>
                </c:pt>
                <c:pt idx="3">
                  <c:v>20276.247729455692</c:v>
                </c:pt>
                <c:pt idx="4">
                  <c:v>25731.106743714103</c:v>
                </c:pt>
                <c:pt idx="5">
                  <c:v>31349.611528400266</c:v>
                </c:pt>
                <c:pt idx="6">
                  <c:v>37136.671456627017</c:v>
                </c:pt>
                <c:pt idx="7">
                  <c:v>43097.34318270057</c:v>
                </c:pt>
                <c:pt idx="8">
                  <c:v>49236.835060556332</c:v>
                </c:pt>
                <c:pt idx="9">
                  <c:v>55560.511694747765</c:v>
                </c:pt>
                <c:pt idx="10">
                  <c:v>62073.89862796494</c:v>
                </c:pt>
                <c:pt idx="11">
                  <c:v>68782.687169178622</c:v>
                </c:pt>
                <c:pt idx="12">
                  <c:v>75692.739366628724</c:v>
                </c:pt>
                <c:pt idx="13">
                  <c:v>82810.093130002322</c:v>
                </c:pt>
                <c:pt idx="14">
                  <c:v>90140.967506277128</c:v>
                </c:pt>
                <c:pt idx="15">
                  <c:v>97691.768113840182</c:v>
                </c:pt>
                <c:pt idx="16">
                  <c:v>105469.09273963013</c:v>
                </c:pt>
                <c:pt idx="17">
                  <c:v>113479.73710419377</c:v>
                </c:pt>
                <c:pt idx="18">
                  <c:v>121730.70079969433</c:v>
                </c:pt>
                <c:pt idx="19">
                  <c:v>130229.1934060599</c:v>
                </c:pt>
                <c:pt idx="20">
                  <c:v>138982.64079061642</c:v>
                </c:pt>
                <c:pt idx="21">
                  <c:v>147998.69159670966</c:v>
                </c:pt>
                <c:pt idx="22">
                  <c:v>157285.22392698569</c:v>
                </c:pt>
                <c:pt idx="23">
                  <c:v>166850.35222716999</c:v>
                </c:pt>
                <c:pt idx="24">
                  <c:v>176702.43437635983</c:v>
                </c:pt>
                <c:pt idx="25">
                  <c:v>186850.07899002536</c:v>
                </c:pt>
                <c:pt idx="26">
                  <c:v>197302.15294210086</c:v>
                </c:pt>
                <c:pt idx="27">
                  <c:v>208067.78911273862</c:v>
                </c:pt>
                <c:pt idx="28">
                  <c:v>219156.39436849553</c:v>
                </c:pt>
                <c:pt idx="29">
                  <c:v>230577.65778192514</c:v>
                </c:pt>
              </c:numCache>
            </c:numRef>
          </c:val>
          <c:smooth val="0"/>
          <c:extLst>
            <c:ext xmlns:c16="http://schemas.microsoft.com/office/drawing/2014/chart" uri="{C3380CC4-5D6E-409C-BE32-E72D297353CC}">
              <c16:uniqueId val="{00000000-8994-AE45-B934-0644CC59784B}"/>
            </c:ext>
          </c:extLst>
        </c:ser>
        <c:ser>
          <c:idx val="1"/>
          <c:order val="1"/>
          <c:tx>
            <c:strRef>
              <c:f>'Data entry'!$Y$14</c:f>
              <c:strCache>
                <c:ptCount val="1"/>
                <c:pt idx="0">
                  <c:v>Operational Energy (RIBA 2030 target)</c:v>
                </c:pt>
              </c:strCache>
            </c:strRef>
          </c:tx>
          <c:spPr>
            <a:ln w="28575" cap="rnd">
              <a:solidFill>
                <a:schemeClr val="accent2"/>
              </a:solidFill>
              <a:round/>
            </a:ln>
            <a:effectLst/>
          </c:spPr>
          <c:marker>
            <c:symbol val="none"/>
          </c:marker>
          <c:cat>
            <c:strRef>
              <c:f>'Data entry'!$Z$8:$BC$8</c:f>
              <c:strCache>
                <c:ptCount val="30"/>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pt idx="20">
                  <c:v>Year 21</c:v>
                </c:pt>
                <c:pt idx="21">
                  <c:v>Year 22</c:v>
                </c:pt>
                <c:pt idx="22">
                  <c:v>Year 23</c:v>
                </c:pt>
                <c:pt idx="23">
                  <c:v>Year 24</c:v>
                </c:pt>
                <c:pt idx="24">
                  <c:v>Year 25</c:v>
                </c:pt>
                <c:pt idx="25">
                  <c:v>Year 26</c:v>
                </c:pt>
                <c:pt idx="26">
                  <c:v>Year 27</c:v>
                </c:pt>
                <c:pt idx="27">
                  <c:v>Year 28</c:v>
                </c:pt>
                <c:pt idx="28">
                  <c:v>Year 29</c:v>
                </c:pt>
                <c:pt idx="29">
                  <c:v>Year 30</c:v>
                </c:pt>
              </c:strCache>
            </c:strRef>
          </c:cat>
          <c:val>
            <c:numRef>
              <c:f>'Data entry'!$Z$14:$BC$14</c:f>
              <c:numCache>
                <c:formatCode>_("$"* #,##0.00_);_("$"* \(#,##0.00\);_("$"* "-"??_);_(@_)</c:formatCode>
                <c:ptCount val="30"/>
                <c:pt idx="0">
                  <c:v>2270.75</c:v>
                </c:pt>
                <c:pt idx="1">
                  <c:v>4609.6224999999995</c:v>
                </c:pt>
                <c:pt idx="2">
                  <c:v>7018.6611749999993</c:v>
                </c:pt>
                <c:pt idx="3">
                  <c:v>9499.9710102499994</c:v>
                </c:pt>
                <c:pt idx="4">
                  <c:v>12055.7201405575</c:v>
                </c:pt>
                <c:pt idx="5">
                  <c:v>14688.141744774224</c:v>
                </c:pt>
                <c:pt idx="6">
                  <c:v>17399.535997117451</c:v>
                </c:pt>
                <c:pt idx="7">
                  <c:v>20192.272077030975</c:v>
                </c:pt>
                <c:pt idx="8">
                  <c:v>23068.790239341903</c:v>
                </c:pt>
                <c:pt idx="9">
                  <c:v>26031.603946522158</c:v>
                </c:pt>
                <c:pt idx="10">
                  <c:v>29083.302064917822</c:v>
                </c:pt>
                <c:pt idx="11">
                  <c:v>32226.551126865357</c:v>
                </c:pt>
                <c:pt idx="12">
                  <c:v>35464.097660671316</c:v>
                </c:pt>
                <c:pt idx="13">
                  <c:v>38798.770590491455</c:v>
                </c:pt>
                <c:pt idx="14">
                  <c:v>42233.4837082062</c:v>
                </c:pt>
                <c:pt idx="15">
                  <c:v>45771.238219452389</c:v>
                </c:pt>
                <c:pt idx="16">
                  <c:v>49415.125366035958</c:v>
                </c:pt>
                <c:pt idx="17">
                  <c:v>53168.329127017038</c:v>
                </c:pt>
                <c:pt idx="18">
                  <c:v>57034.129000827546</c:v>
                </c:pt>
                <c:pt idx="19">
                  <c:v>61015.902870852369</c:v>
                </c:pt>
                <c:pt idx="20">
                  <c:v>65117.129956977937</c:v>
                </c:pt>
                <c:pt idx="21">
                  <c:v>69341.393855687274</c:v>
                </c:pt>
                <c:pt idx="22">
                  <c:v>73692.385671357886</c:v>
                </c:pt>
                <c:pt idx="23">
                  <c:v>78173.907241498629</c:v>
                </c:pt>
                <c:pt idx="24">
                  <c:v>82789.874458743594</c:v>
                </c:pt>
                <c:pt idx="25">
                  <c:v>87544.320692505906</c:v>
                </c:pt>
                <c:pt idx="26">
                  <c:v>92441.400313281076</c:v>
                </c:pt>
                <c:pt idx="27">
                  <c:v>97485.392322679516</c:v>
                </c:pt>
                <c:pt idx="28">
                  <c:v>102680.7040923599</c:v>
                </c:pt>
                <c:pt idx="29">
                  <c:v>108031.8752151307</c:v>
                </c:pt>
              </c:numCache>
            </c:numRef>
          </c:val>
          <c:smooth val="0"/>
          <c:extLst>
            <c:ext xmlns:c16="http://schemas.microsoft.com/office/drawing/2014/chart" uri="{C3380CC4-5D6E-409C-BE32-E72D297353CC}">
              <c16:uniqueId val="{00000001-8994-AE45-B934-0644CC59784B}"/>
            </c:ext>
          </c:extLst>
        </c:ser>
        <c:ser>
          <c:idx val="2"/>
          <c:order val="2"/>
          <c:tx>
            <c:strRef>
              <c:f>'Data entry'!$Y$16</c:f>
              <c:strCache>
                <c:ptCount val="1"/>
                <c:pt idx="0">
                  <c:v>Operational Energy (RIBA 2030 target, adjusted for house size)</c:v>
                </c:pt>
              </c:strCache>
            </c:strRef>
          </c:tx>
          <c:spPr>
            <a:ln w="28575" cap="rnd">
              <a:solidFill>
                <a:schemeClr val="accent3"/>
              </a:solidFill>
              <a:round/>
            </a:ln>
            <a:effectLst/>
          </c:spPr>
          <c:marker>
            <c:symbol val="none"/>
          </c:marker>
          <c:cat>
            <c:strRef>
              <c:f>'Data entry'!$Z$8:$BC$8</c:f>
              <c:strCache>
                <c:ptCount val="30"/>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pt idx="20">
                  <c:v>Year 21</c:v>
                </c:pt>
                <c:pt idx="21">
                  <c:v>Year 22</c:v>
                </c:pt>
                <c:pt idx="22">
                  <c:v>Year 23</c:v>
                </c:pt>
                <c:pt idx="23">
                  <c:v>Year 24</c:v>
                </c:pt>
                <c:pt idx="24">
                  <c:v>Year 25</c:v>
                </c:pt>
                <c:pt idx="25">
                  <c:v>Year 26</c:v>
                </c:pt>
                <c:pt idx="26">
                  <c:v>Year 27</c:v>
                </c:pt>
                <c:pt idx="27">
                  <c:v>Year 28</c:v>
                </c:pt>
                <c:pt idx="28">
                  <c:v>Year 29</c:v>
                </c:pt>
                <c:pt idx="29">
                  <c:v>Year 30</c:v>
                </c:pt>
              </c:strCache>
            </c:strRef>
          </c:cat>
          <c:val>
            <c:numRef>
              <c:f>'Data entry'!$Z$16:$BC$16</c:f>
              <c:numCache>
                <c:formatCode>_("$"* #,##0.00_);_("$"* \(#,##0.00\);_("$"* "-"??_);_(@_)</c:formatCode>
                <c:ptCount val="30"/>
                <c:pt idx="0">
                  <c:v>1320.5</c:v>
                </c:pt>
                <c:pt idx="1">
                  <c:v>2680.6149999999998</c:v>
                </c:pt>
                <c:pt idx="2">
                  <c:v>4081.5334499999999</c:v>
                </c:pt>
                <c:pt idx="3">
                  <c:v>5524.4794535000001</c:v>
                </c:pt>
                <c:pt idx="4">
                  <c:v>7010.7138371050005</c:v>
                </c:pt>
                <c:pt idx="5">
                  <c:v>8541.5352522181511</c:v>
                </c:pt>
                <c:pt idx="6">
                  <c:v>10118.281309784696</c:v>
                </c:pt>
                <c:pt idx="7">
                  <c:v>11742.329749078237</c:v>
                </c:pt>
                <c:pt idx="8">
                  <c:v>13415.099641550583</c:v>
                </c:pt>
                <c:pt idx="9">
                  <c:v>15138.052630797101</c:v>
                </c:pt>
                <c:pt idx="10">
                  <c:v>16912.694209721016</c:v>
                </c:pt>
                <c:pt idx="11">
                  <c:v>18740.575036012648</c:v>
                </c:pt>
                <c:pt idx="12">
                  <c:v>20623.292287093027</c:v>
                </c:pt>
                <c:pt idx="13">
                  <c:v>22562.491055705817</c:v>
                </c:pt>
                <c:pt idx="14">
                  <c:v>24559.865787376992</c:v>
                </c:pt>
                <c:pt idx="15">
                  <c:v>26617.1617609983</c:v>
                </c:pt>
                <c:pt idx="16">
                  <c:v>28736.176613828251</c:v>
                </c:pt>
                <c:pt idx="17">
                  <c:v>30918.761912243099</c:v>
                </c:pt>
                <c:pt idx="18">
                  <c:v>33166.824769610394</c:v>
                </c:pt>
                <c:pt idx="19">
                  <c:v>35482.329512698707</c:v>
                </c:pt>
                <c:pt idx="20">
                  <c:v>37867.299398079667</c:v>
                </c:pt>
                <c:pt idx="21">
                  <c:v>40323.818380022058</c:v>
                </c:pt>
                <c:pt idx="22">
                  <c:v>42854.03293142272</c:v>
                </c:pt>
                <c:pt idx="23">
                  <c:v>45460.153919365403</c:v>
                </c:pt>
                <c:pt idx="24">
                  <c:v>48144.458536946368</c:v>
                </c:pt>
                <c:pt idx="25">
                  <c:v>50909.292293054757</c:v>
                </c:pt>
                <c:pt idx="26">
                  <c:v>53757.0710618464</c:v>
                </c:pt>
                <c:pt idx="27">
                  <c:v>56690.283193701791</c:v>
                </c:pt>
                <c:pt idx="28">
                  <c:v>59711.491689512848</c:v>
                </c:pt>
                <c:pt idx="29">
                  <c:v>62823.336440198233</c:v>
                </c:pt>
              </c:numCache>
            </c:numRef>
          </c:val>
          <c:smooth val="0"/>
          <c:extLst>
            <c:ext xmlns:c16="http://schemas.microsoft.com/office/drawing/2014/chart" uri="{C3380CC4-5D6E-409C-BE32-E72D297353CC}">
              <c16:uniqueId val="{00000002-8994-AE45-B934-0644CC59784B}"/>
            </c:ext>
          </c:extLst>
        </c:ser>
        <c:ser>
          <c:idx val="3"/>
          <c:order val="3"/>
          <c:tx>
            <c:strRef>
              <c:f>'Data entry'!$Y$12</c:f>
              <c:strCache>
                <c:ptCount val="1"/>
                <c:pt idx="0">
                  <c:v>Operational Energy (projected w Performance Gap)</c:v>
                </c:pt>
              </c:strCache>
            </c:strRef>
          </c:tx>
          <c:spPr>
            <a:ln w="28575" cap="rnd">
              <a:solidFill>
                <a:schemeClr val="accent4"/>
              </a:solidFill>
              <a:round/>
            </a:ln>
            <a:effectLst/>
          </c:spPr>
          <c:marker>
            <c:symbol val="none"/>
          </c:marker>
          <c:val>
            <c:numRef>
              <c:f>'Data entry'!$Z$12:$BC$12</c:f>
              <c:numCache>
                <c:formatCode>_("$"* #,##0.00_);_("$"* \(#,##0.00\);_("$"* "-"??_);_(@_)</c:formatCode>
                <c:ptCount val="30"/>
                <c:pt idx="0">
                  <c:v>7087.357373562113</c:v>
                </c:pt>
                <c:pt idx="1">
                  <c:v>14387.33546833109</c:v>
                </c:pt>
                <c:pt idx="2">
                  <c:v>21906.312905943134</c:v>
                </c:pt>
                <c:pt idx="3">
                  <c:v>29650.85966668354</c:v>
                </c:pt>
                <c:pt idx="4">
                  <c:v>37627.742830246156</c:v>
                </c:pt>
                <c:pt idx="5">
                  <c:v>45843.932488715654</c:v>
                </c:pt>
                <c:pt idx="6">
                  <c:v>54306.607836939234</c:v>
                </c:pt>
                <c:pt idx="7">
                  <c:v>63023.16344560952</c:v>
                </c:pt>
                <c:pt idx="8">
                  <c:v>72001.215722539913</c:v>
                </c:pt>
                <c:pt idx="9">
                  <c:v>81248.609567778214</c:v>
                </c:pt>
                <c:pt idx="10">
                  <c:v>90773.425228373671</c:v>
                </c:pt>
                <c:pt idx="11">
                  <c:v>100583.98535878699</c:v>
                </c:pt>
                <c:pt idx="12">
                  <c:v>110688.8622931127</c:v>
                </c:pt>
                <c:pt idx="13">
                  <c:v>121096.8855354682</c:v>
                </c:pt>
                <c:pt idx="14">
                  <c:v>131817.14947509437</c:v>
                </c:pt>
                <c:pt idx="15">
                  <c:v>142859.02133290929</c:v>
                </c:pt>
                <c:pt idx="16">
                  <c:v>154232.1493464587</c:v>
                </c:pt>
                <c:pt idx="17">
                  <c:v>165946.47120041458</c:v>
                </c:pt>
                <c:pt idx="18">
                  <c:v>178012.22270998915</c:v>
                </c:pt>
                <c:pt idx="19">
                  <c:v>190439.94676485093</c:v>
                </c:pt>
                <c:pt idx="20">
                  <c:v>203240.50254135858</c:v>
                </c:pt>
                <c:pt idx="21">
                  <c:v>216425.07499116144</c:v>
                </c:pt>
                <c:pt idx="22">
                  <c:v>230005.18461445838</c:v>
                </c:pt>
                <c:pt idx="23">
                  <c:v>243992.69752645426</c:v>
                </c:pt>
                <c:pt idx="24">
                  <c:v>258399.83582581001</c:v>
                </c:pt>
                <c:pt idx="25">
                  <c:v>273239.18827414641</c:v>
                </c:pt>
                <c:pt idx="26">
                  <c:v>288523.72129593289</c:v>
                </c:pt>
                <c:pt idx="27">
                  <c:v>304266.79030837299</c:v>
                </c:pt>
                <c:pt idx="28">
                  <c:v>320482.15139118629</c:v>
                </c:pt>
                <c:pt idx="29">
                  <c:v>337183.973306484</c:v>
                </c:pt>
              </c:numCache>
            </c:numRef>
          </c:val>
          <c:smooth val="0"/>
          <c:extLst>
            <c:ext xmlns:c16="http://schemas.microsoft.com/office/drawing/2014/chart" uri="{C3380CC4-5D6E-409C-BE32-E72D297353CC}">
              <c16:uniqueId val="{00000003-8994-AE45-B934-0644CC59784B}"/>
            </c:ext>
          </c:extLst>
        </c:ser>
        <c:dLbls>
          <c:showLegendKey val="0"/>
          <c:showVal val="0"/>
          <c:showCatName val="0"/>
          <c:showSerName val="0"/>
          <c:showPercent val="0"/>
          <c:showBubbleSize val="0"/>
        </c:dLbls>
        <c:smooth val="0"/>
        <c:axId val="1152242703"/>
        <c:axId val="1152236479"/>
      </c:lineChart>
      <c:catAx>
        <c:axId val="1152242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36479"/>
        <c:crosses val="autoZero"/>
        <c:auto val="1"/>
        <c:lblAlgn val="ctr"/>
        <c:lblOffset val="100"/>
        <c:noMultiLvlLbl val="0"/>
      </c:catAx>
      <c:valAx>
        <c:axId val="11522364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Electricty costs</a:t>
                </a:r>
                <a:r>
                  <a:rPr lang="en-GB" baseline="0"/>
                  <a:t> (cumulative)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42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571498</xdr:colOff>
      <xdr:row>1</xdr:row>
      <xdr:rowOff>0</xdr:rowOff>
    </xdr:from>
    <xdr:to>
      <xdr:col>20</xdr:col>
      <xdr:colOff>24998</xdr:colOff>
      <xdr:row>26</xdr:row>
      <xdr:rowOff>197757</xdr:rowOff>
    </xdr:to>
    <xdr:graphicFrame macro="">
      <xdr:nvGraphicFramePr>
        <xdr:cNvPr id="2" name="Chart 1">
          <a:extLst>
            <a:ext uri="{FF2B5EF4-FFF2-40B4-BE49-F238E27FC236}">
              <a16:creationId xmlns:a16="http://schemas.microsoft.com/office/drawing/2014/main" id="{AC1A5FD9-DDC2-B54E-853E-9A87E444D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546100</xdr:colOff>
      <xdr:row>27</xdr:row>
      <xdr:rowOff>54428</xdr:rowOff>
    </xdr:from>
    <xdr:to>
      <xdr:col>19</xdr:col>
      <xdr:colOff>825100</xdr:colOff>
      <xdr:row>47</xdr:row>
      <xdr:rowOff>28713</xdr:rowOff>
    </xdr:to>
    <xdr:graphicFrame macro="">
      <xdr:nvGraphicFramePr>
        <xdr:cNvPr id="3" name="Chart 2">
          <a:extLst>
            <a:ext uri="{FF2B5EF4-FFF2-40B4-BE49-F238E27FC236}">
              <a16:creationId xmlns:a16="http://schemas.microsoft.com/office/drawing/2014/main" id="{8F96D3E5-BB89-E44C-AEAC-2BFF26468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25400</xdr:colOff>
      <xdr:row>47</xdr:row>
      <xdr:rowOff>103415</xdr:rowOff>
    </xdr:from>
    <xdr:to>
      <xdr:col>19</xdr:col>
      <xdr:colOff>816208</xdr:colOff>
      <xdr:row>108</xdr:row>
      <xdr:rowOff>18143</xdr:rowOff>
    </xdr:to>
    <xdr:pic>
      <xdr:nvPicPr>
        <xdr:cNvPr id="7" name="Picture 6">
          <a:extLst>
            <a:ext uri="{FF2B5EF4-FFF2-40B4-BE49-F238E27FC236}">
              <a16:creationId xmlns:a16="http://schemas.microsoft.com/office/drawing/2014/main" id="{0467B9E5-AF21-EF46-9363-39D29FEE5676}"/>
            </a:ext>
          </a:extLst>
        </xdr:cNvPr>
        <xdr:cNvPicPr>
          <a:picLocks noChangeAspect="1"/>
        </xdr:cNvPicPr>
      </xdr:nvPicPr>
      <xdr:blipFill>
        <a:blip xmlns:r="http://schemas.openxmlformats.org/officeDocument/2006/relationships" r:embed="rId3"/>
        <a:stretch>
          <a:fillRect/>
        </a:stretch>
      </xdr:blipFill>
      <xdr:spPr>
        <a:xfrm>
          <a:off x="15827829" y="12150272"/>
          <a:ext cx="3294522" cy="912585"/>
        </a:xfrm>
        <a:prstGeom prst="rect">
          <a:avLst/>
        </a:prstGeom>
      </xdr:spPr>
    </xdr:pic>
    <xdr:clientData/>
  </xdr:twoCellAnchor>
  <xdr:twoCellAnchor>
    <xdr:from>
      <xdr:col>20</xdr:col>
      <xdr:colOff>818243</xdr:colOff>
      <xdr:row>5</xdr:row>
      <xdr:rowOff>157843</xdr:rowOff>
    </xdr:from>
    <xdr:to>
      <xdr:col>57</xdr:col>
      <xdr:colOff>36286</xdr:colOff>
      <xdr:row>31</xdr:row>
      <xdr:rowOff>9071</xdr:rowOff>
    </xdr:to>
    <xdr:graphicFrame macro="">
      <xdr:nvGraphicFramePr>
        <xdr:cNvPr id="5" name="Chart 4">
          <a:extLst>
            <a:ext uri="{FF2B5EF4-FFF2-40B4-BE49-F238E27FC236}">
              <a16:creationId xmlns:a16="http://schemas.microsoft.com/office/drawing/2014/main" id="{30A854D0-DF20-6646-805D-97C65D343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ndy marlow" id="{7D267106-42DE-C241-8B1C-E2A3B504C54C}" userId="68954c05ffe601d6"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0-01-19T04:04:26.35" personId="{7D267106-42DE-C241-8B1C-E2A3B504C54C}" id="{D6EA11CD-5C7C-CD4A-8422-D8EB2B4C493D}">
    <text>from PHPP PER sheet (=W20/V20)</text>
  </threadedComment>
  <threadedComment ref="A11" dT="2020-01-19T04:04:59.13" personId="{7D267106-42DE-C241-8B1C-E2A3B504C54C}" id="{F3620705-CA6B-7E4A-8312-A2FC89E668D0}">
    <text>from PHPP PER sheet, (=sum(T33:T34))</text>
  </threadedComment>
  <threadedComment ref="A12" dT="2020-01-19T04:14:10.01" personId="{7D267106-42DE-C241-8B1C-E2A3B504C54C}" id="{217BD14B-995C-304E-BCA9-286EED6F0EE9}">
    <text>fromPHPP PER sheet, (=sum(T35:T36))</text>
  </threadedComment>
  <threadedComment ref="A13" dT="2020-01-19T04:07:41.27" personId="{7D267106-42DE-C241-8B1C-E2A3B504C54C}" id="{5BCB98EF-B966-E94A-AB4D-BE71C0C0DDF5}">
    <text>from PHPP PER sheet, (=sum(T39:T48))</text>
  </threadedComment>
  <threadedComment ref="A14" dT="2020-01-19T04:09:01.33" personId="{7D267106-42DE-C241-8B1C-E2A3B504C54C}" id="{99BF1BD5-B9C1-5A45-9B3C-2F5CBDDB0C83}">
    <text>from PHPP PER sheet, sum T51:T52</text>
  </threadedComment>
  <threadedComment ref="A15" dT="2020-01-27T08:24:57.34" personId="{7D267106-42DE-C241-8B1C-E2A3B504C54C}" id="{281FF84E-7E10-B64F-8E44-82718D7E0348}">
    <text>from PHPP, Verification tab, cell I34</text>
  </threadedComment>
  <threadedComment ref="E22" dT="2020-01-19T06:37:36.54" personId="{7D267106-42DE-C241-8B1C-E2A3B504C54C}" id="{D9E5CE17-8CB1-884B-8872-90D87D88DE4C}">
    <text>200kWh/year is ~4 stars. For model specific information to go https://reg.energyrating.gov.au/comparator/product_types/</text>
  </threadedComment>
  <threadedComment ref="E23" dT="2020-01-19T06:37:36.54" personId="{7D267106-42DE-C241-8B1C-E2A3B504C54C}" id="{A5726878-224A-D745-9161-F04DFD331FD2}">
    <text>220kWh/year is ~5 stars for an upright freezer. For model specific information to go https://www.energyrating.gov.au/calculator</text>
  </threadedComment>
  <threadedComment ref="E24" dT="2020-01-19T06:37:36.54" personId="{7D267106-42DE-C241-8B1C-E2A3B504C54C}" id="{F94DE448-DFFD-FE43-9A23-DE2A0CF50B06}">
    <text>280kWh/year is ~5 stars. For model specific information to go https://www.energyrating.gov.au/calculator</text>
  </threadedComment>
  <threadedComment ref="G25" dT="2020-01-19T06:37:36.54" personId="{7D267106-42DE-C241-8B1C-E2A3B504C54C}" id="{6F06F667-8605-DE42-BC22-0A80073B8894}">
    <text>325kWh/year is ~4 stars for energy. For model specific information to go https://reg.energyrating.gov.au/comparator/product_types/49/search/?expired_products=on</text>
  </threadedComment>
  <threadedComment ref="I25" dT="2020-01-24T21:10:02.17" personId="{7D267106-42DE-C241-8B1C-E2A3B504C54C}" id="{6E857202-6915-D64E-BFB3-141F984D42C3}">
    <text>defaults for 4Star front loader. Morre options here https://wels.agriculture.gov.au/wels-public/action/search-product-load?sort=&amp;dir=asc&amp;code=CLOTWAMA</text>
  </threadedComment>
  <threadedComment ref="G26" dT="2020-01-19T06:37:36.54" personId="{7D267106-42DE-C241-8B1C-E2A3B504C54C}" id="{96B1C85C-E476-9C40-90E5-7EB8928C9F2B}">
    <text>240kWh/year is ~4 stars for energy. For model specific information to go https://reg.energyrating.gov.au/comparator/product_types/41/search/?expired_products=on</text>
  </threadedComment>
  <threadedComment ref="I26" dT="2020-01-24T21:12:23.15" personId="{7D267106-42DE-C241-8B1C-E2A3B504C54C}" id="{F8B0AF3E-2EF6-A24C-BF9A-FF62CEECF64B}">
    <text>Defaults at 5Star. Otehr options here https://wels.agriculture.gov.au/wels-public/action/search-product-load?src=menu&amp;code=DISHWASH</text>
  </threadedComment>
  <threadedComment ref="G27" dT="2020-01-24T21:23:33.77" personId="{7D267106-42DE-C241-8B1C-E2A3B504C54C}" id="{E5144BF1-A054-FC46-9E60-F1A7FCA2AADA}">
    <text xml:space="preserve">Default 8 Star heat pump dryer. Other options here 
https://reg.energyrating.gov.au/comparator/product_types/35/search/?expired_products=on
</text>
  </threadedComment>
  <threadedComment ref="A28" dT="2020-01-21T06:04:22.26" personId="{7D267106-42DE-C241-8B1C-E2A3B504C54C}" id="{97647B96-74DA-5E47-97ED-B263DC27AD2D}">
    <text>Assumed to be LED.</text>
  </threadedComment>
  <threadedComment ref="A32" dT="2020-01-27T08:50:49.22" personId="{7D267106-42DE-C241-8B1C-E2A3B504C54C}" id="{2E954BA5-16C5-374C-BE8F-D5F46CBCC292}">
    <text xml:space="preserve">This is the discrepancy between projected and actual performance (it varies but is very real). This tool defaults to 5% for Passivhaus, 50% for NatHERS. The number can be manually overridden if you have better information.
For more information see CarbonBuzz:
http://www.carbonbuzz.org/index.jsp
 </text>
  </threadedComment>
  <threadedComment ref="E44" dT="2020-01-24T21:06:00.52" personId="{7D267106-42DE-C241-8B1C-E2A3B504C54C}" id="{B74C3856-B3E7-D34A-BE2D-99C683132557}">
    <text>defaults for a 4Star toilet. https://wels.agriculture.gov.au/wels-public/action/search-product-load?src=menu&amp;code=LAVEQUIP</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els.agriculture.gov.au/wels-public/action/search-product-load?src=menu&amp;code=DISHWASH" TargetMode="External"/><Relationship Id="rId13" Type="http://schemas.openxmlformats.org/officeDocument/2006/relationships/vmlDrawing" Target="../drawings/vmlDrawing1.vml"/><Relationship Id="rId3" Type="http://schemas.openxmlformats.org/officeDocument/2006/relationships/hyperlink" Target="https://reg.energyrating.gov.au/comparator/product_types/" TargetMode="External"/><Relationship Id="rId7" Type="http://schemas.openxmlformats.org/officeDocument/2006/relationships/hyperlink" Target="https://reg.energyrating.gov.au/comparator/product_types/41/search/?expired_products=on" TargetMode="External"/><Relationship Id="rId12" Type="http://schemas.openxmlformats.org/officeDocument/2006/relationships/drawing" Target="../drawings/drawing1.xml"/><Relationship Id="rId2" Type="http://schemas.openxmlformats.org/officeDocument/2006/relationships/hyperlink" Target="https://www.rheem.com.au/help/running-cost-calculator" TargetMode="External"/><Relationship Id="rId1" Type="http://schemas.openxmlformats.org/officeDocument/2006/relationships/hyperlink" Target="https://www.rheem.com.au/help/running-cost-calculator" TargetMode="External"/><Relationship Id="rId6" Type="http://schemas.openxmlformats.org/officeDocument/2006/relationships/hyperlink" Target="https://reg.energyrating.gov.au/comparator/product_types/35/search/?expired_products=on" TargetMode="External"/><Relationship Id="rId11" Type="http://schemas.openxmlformats.org/officeDocument/2006/relationships/hyperlink" Target="https://www.youtube.com/watch?time_continue=1&amp;v=zrF1THd4bUM&amp;feature=emb_logo" TargetMode="External"/><Relationship Id="rId5" Type="http://schemas.openxmlformats.org/officeDocument/2006/relationships/hyperlink" Target="https://reg.energyrating.gov.au/comparator/product_types/" TargetMode="External"/><Relationship Id="rId15" Type="http://schemas.microsoft.com/office/2017/10/relationships/threadedComment" Target="../threadedComments/threadedComment1.xml"/><Relationship Id="rId10" Type="http://schemas.openxmlformats.org/officeDocument/2006/relationships/hyperlink" Target="https://wels.agriculture.gov.au/wels-public/action/search-product-load?sort=&amp;dir=asc&amp;code=CLOTWAMA" TargetMode="External"/><Relationship Id="rId4" Type="http://schemas.openxmlformats.org/officeDocument/2006/relationships/hyperlink" Target="https://reg.energyrating.gov.au/comparator/product_types/" TargetMode="External"/><Relationship Id="rId9" Type="http://schemas.openxmlformats.org/officeDocument/2006/relationships/hyperlink" Target="https://reg.energyrating.gov.au/comparator/product_types/49/search/?expired_products=on"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carbonbuzz.org/index.js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212E2-26AF-CB4E-A8B4-28395B5ADF56}">
  <dimension ref="A1:BC108"/>
  <sheetViews>
    <sheetView tabSelected="1" topLeftCell="A22" zoomScaleNormal="100" workbookViewId="0">
      <selection activeCell="E39" sqref="E39"/>
    </sheetView>
  </sheetViews>
  <sheetFormatPr baseColWidth="10" defaultRowHeight="16"/>
  <cols>
    <col min="1" max="1" width="43.6640625" style="7" bestFit="1" customWidth="1"/>
    <col min="2" max="2" width="11.83203125" style="7" customWidth="1"/>
    <col min="3" max="4" width="10.83203125" style="7"/>
    <col min="5" max="5" width="12.83203125" style="7" customWidth="1"/>
    <col min="6" max="9" width="10.83203125" style="7"/>
    <col min="10" max="10" width="7.5" style="7" customWidth="1"/>
    <col min="11" max="21" width="10.83203125" style="7"/>
    <col min="22" max="22" width="23.83203125" style="7" bestFit="1" customWidth="1"/>
    <col min="23" max="24" width="10.83203125" style="7"/>
    <col min="25" max="55" width="1" style="7" customWidth="1"/>
    <col min="56" max="16384" width="10.83203125" style="7"/>
  </cols>
  <sheetData>
    <row r="1" spans="1:55" ht="263" customHeight="1">
      <c r="A1" s="45" t="s">
        <v>190</v>
      </c>
      <c r="B1" s="45"/>
      <c r="C1" s="45"/>
      <c r="D1" s="45"/>
      <c r="E1" s="45"/>
    </row>
    <row r="2" spans="1:55" ht="17">
      <c r="A2" s="41" t="s">
        <v>187</v>
      </c>
      <c r="B2" s="38"/>
      <c r="C2" s="38"/>
      <c r="D2" s="38"/>
      <c r="E2" s="38"/>
    </row>
    <row r="3" spans="1:55" ht="18">
      <c r="A3" s="8" t="s">
        <v>110</v>
      </c>
      <c r="B3" s="49" t="s">
        <v>111</v>
      </c>
      <c r="C3" s="49"/>
      <c r="D3" s="49"/>
      <c r="E3" s="49"/>
      <c r="V3" s="32" t="s">
        <v>114</v>
      </c>
      <c r="W3" s="31">
        <v>1</v>
      </c>
      <c r="X3" t="s">
        <v>115</v>
      </c>
    </row>
    <row r="4" spans="1:55" ht="18" customHeight="1">
      <c r="A4" s="8" t="s">
        <v>60</v>
      </c>
      <c r="B4" s="9"/>
      <c r="C4" s="9"/>
      <c r="L4" s="23" t="s">
        <v>99</v>
      </c>
      <c r="M4" s="23" t="s">
        <v>98</v>
      </c>
      <c r="N4" s="23" t="s">
        <v>14</v>
      </c>
      <c r="O4" s="23" t="s">
        <v>85</v>
      </c>
      <c r="V4"/>
      <c r="W4" s="31">
        <v>0.3</v>
      </c>
      <c r="X4" t="s">
        <v>116</v>
      </c>
    </row>
    <row r="5" spans="1:55" ht="18">
      <c r="A5" s="28" t="s">
        <v>17</v>
      </c>
      <c r="B5" s="10">
        <f>VLOOKUP(A5,A80:B81,2,FALSE)</f>
        <v>82.306181494485614</v>
      </c>
      <c r="C5" s="9" t="s">
        <v>20</v>
      </c>
      <c r="K5" s="19">
        <v>43831</v>
      </c>
      <c r="L5" s="7">
        <v>105</v>
      </c>
      <c r="M5" s="13">
        <f>(L5*91)/$B$92</f>
        <v>52.644628099173552</v>
      </c>
      <c r="N5" s="14">
        <f>$B$5</f>
        <v>82.306181494485614</v>
      </c>
      <c r="O5" s="7">
        <f>N5*(1+$B$32)</f>
        <v>123.45927224172843</v>
      </c>
      <c r="P5" s="20" t="s">
        <v>1</v>
      </c>
      <c r="V5" s="34" t="s">
        <v>152</v>
      </c>
      <c r="W5" s="35">
        <v>0.03</v>
      </c>
      <c r="X5"/>
    </row>
    <row r="6" spans="1:55" ht="16" customHeight="1">
      <c r="A6" s="10"/>
      <c r="B6" s="10"/>
      <c r="C6" s="9"/>
      <c r="K6" s="19"/>
      <c r="M6" s="13"/>
      <c r="N6" s="14"/>
      <c r="P6" s="20"/>
    </row>
    <row r="7" spans="1:55" ht="16" customHeight="1">
      <c r="A7" s="7" t="s">
        <v>4</v>
      </c>
      <c r="B7" s="25">
        <v>4</v>
      </c>
      <c r="C7" s="7" t="s">
        <v>5</v>
      </c>
      <c r="Y7" s="32" t="s">
        <v>151</v>
      </c>
      <c r="Z7"/>
      <c r="AA7"/>
      <c r="AB7"/>
      <c r="AC7"/>
      <c r="AD7"/>
      <c r="AE7"/>
      <c r="AF7"/>
      <c r="AG7"/>
      <c r="AH7"/>
      <c r="AI7"/>
      <c r="AJ7"/>
      <c r="AK7"/>
      <c r="AL7"/>
      <c r="AM7"/>
      <c r="AN7"/>
      <c r="AO7"/>
      <c r="AP7"/>
      <c r="AQ7"/>
      <c r="AR7"/>
      <c r="AS7"/>
      <c r="AT7"/>
      <c r="AU7"/>
      <c r="AV7"/>
      <c r="AW7"/>
      <c r="AX7"/>
      <c r="AY7"/>
      <c r="AZ7"/>
      <c r="BA7"/>
      <c r="BB7"/>
      <c r="BC7"/>
    </row>
    <row r="8" spans="1:55" ht="16" customHeight="1">
      <c r="A8" s="10"/>
      <c r="B8" s="10"/>
      <c r="C8" s="9"/>
      <c r="K8" s="21">
        <v>45627</v>
      </c>
      <c r="L8" s="7">
        <v>105</v>
      </c>
      <c r="M8" s="13">
        <f>(L8*91)/$B$92</f>
        <v>52.644628099173552</v>
      </c>
      <c r="N8" s="14">
        <f t="shared" ref="N8:N12" si="0">$B$5</f>
        <v>82.306181494485614</v>
      </c>
      <c r="O8" s="7">
        <f t="shared" ref="O8:O12" si="1">N8*(1+$B$32)</f>
        <v>123.45927224172843</v>
      </c>
      <c r="Y8"/>
      <c r="Z8" t="s">
        <v>119</v>
      </c>
      <c r="AA8" t="s">
        <v>120</v>
      </c>
      <c r="AB8" t="s">
        <v>121</v>
      </c>
      <c r="AC8" t="s">
        <v>122</v>
      </c>
      <c r="AD8" t="s">
        <v>123</v>
      </c>
      <c r="AE8" t="s">
        <v>124</v>
      </c>
      <c r="AF8" t="s">
        <v>125</v>
      </c>
      <c r="AG8" t="s">
        <v>126</v>
      </c>
      <c r="AH8" t="s">
        <v>127</v>
      </c>
      <c r="AI8" t="s">
        <v>128</v>
      </c>
      <c r="AJ8" t="s">
        <v>129</v>
      </c>
      <c r="AK8" t="s">
        <v>130</v>
      </c>
      <c r="AL8" t="s">
        <v>131</v>
      </c>
      <c r="AM8" t="s">
        <v>132</v>
      </c>
      <c r="AN8" t="s">
        <v>133</v>
      </c>
      <c r="AO8" t="s">
        <v>134</v>
      </c>
      <c r="AP8" t="s">
        <v>135</v>
      </c>
      <c r="AQ8" t="s">
        <v>136</v>
      </c>
      <c r="AR8" t="s">
        <v>137</v>
      </c>
      <c r="AS8" t="s">
        <v>138</v>
      </c>
      <c r="AT8" t="s">
        <v>139</v>
      </c>
      <c r="AU8" t="s">
        <v>140</v>
      </c>
      <c r="AV8" t="s">
        <v>141</v>
      </c>
      <c r="AW8" t="s">
        <v>142</v>
      </c>
      <c r="AX8" t="s">
        <v>143</v>
      </c>
      <c r="AY8" t="s">
        <v>144</v>
      </c>
      <c r="AZ8" t="s">
        <v>145</v>
      </c>
      <c r="BA8" t="s">
        <v>146</v>
      </c>
      <c r="BB8" t="s">
        <v>147</v>
      </c>
      <c r="BC8" t="s">
        <v>148</v>
      </c>
    </row>
    <row r="9" spans="1:55" ht="16" customHeight="1">
      <c r="A9" s="11" t="s">
        <v>15</v>
      </c>
      <c r="K9" s="21">
        <v>45658</v>
      </c>
      <c r="L9" s="7">
        <v>70</v>
      </c>
      <c r="M9" s="13">
        <f>(L9*91)/$B$92</f>
        <v>35.096418732782368</v>
      </c>
      <c r="N9" s="14">
        <f t="shared" si="0"/>
        <v>82.306181494485614</v>
      </c>
      <c r="O9" s="7">
        <f t="shared" si="1"/>
        <v>123.45927224172843</v>
      </c>
      <c r="Y9" s="23" t="s">
        <v>14</v>
      </c>
      <c r="Z9" s="33">
        <f>(B106*W4)+365*W3</f>
        <v>4846.5715823747414</v>
      </c>
      <c r="AA9" s="33">
        <f t="shared" ref="AA9:BC9" si="2">Z9+(Z9*$W$5)</f>
        <v>4991.9687298459839</v>
      </c>
      <c r="AB9" s="33">
        <f t="shared" si="2"/>
        <v>5141.727791741363</v>
      </c>
      <c r="AC9" s="33">
        <f t="shared" si="2"/>
        <v>5295.9796254936036</v>
      </c>
      <c r="AD9" s="33">
        <f t="shared" si="2"/>
        <v>5454.8590142584117</v>
      </c>
      <c r="AE9" s="33">
        <f t="shared" si="2"/>
        <v>5618.5047846861644</v>
      </c>
      <c r="AF9" s="33">
        <f t="shared" si="2"/>
        <v>5787.0599282267494</v>
      </c>
      <c r="AG9" s="33">
        <f t="shared" si="2"/>
        <v>5960.6717260735522</v>
      </c>
      <c r="AH9" s="33">
        <f t="shared" si="2"/>
        <v>6139.4918778557585</v>
      </c>
      <c r="AI9" s="33">
        <f t="shared" si="2"/>
        <v>6323.6766341914308</v>
      </c>
      <c r="AJ9" s="33">
        <f t="shared" si="2"/>
        <v>6513.3869332171735</v>
      </c>
      <c r="AK9" s="33">
        <f t="shared" si="2"/>
        <v>6708.7885412136884</v>
      </c>
      <c r="AL9" s="33">
        <f t="shared" si="2"/>
        <v>6910.0521974500989</v>
      </c>
      <c r="AM9" s="33">
        <f t="shared" si="2"/>
        <v>7117.3537633736014</v>
      </c>
      <c r="AN9" s="33">
        <f t="shared" si="2"/>
        <v>7330.874376274809</v>
      </c>
      <c r="AO9" s="33">
        <f t="shared" si="2"/>
        <v>7550.8006075630528</v>
      </c>
      <c r="AP9" s="33">
        <f t="shared" si="2"/>
        <v>7777.3246257899445</v>
      </c>
      <c r="AQ9" s="33">
        <f t="shared" si="2"/>
        <v>8010.6443645636427</v>
      </c>
      <c r="AR9" s="33">
        <f t="shared" si="2"/>
        <v>8250.9636955005517</v>
      </c>
      <c r="AS9" s="33">
        <f t="shared" si="2"/>
        <v>8498.4926063655676</v>
      </c>
      <c r="AT9" s="33">
        <f t="shared" si="2"/>
        <v>8753.4473845565353</v>
      </c>
      <c r="AU9" s="33">
        <f t="shared" si="2"/>
        <v>9016.0508060932316</v>
      </c>
      <c r="AV9" s="33">
        <f t="shared" si="2"/>
        <v>9286.532330276028</v>
      </c>
      <c r="AW9" s="33">
        <f t="shared" si="2"/>
        <v>9565.1283001843094</v>
      </c>
      <c r="AX9" s="33">
        <f t="shared" si="2"/>
        <v>9852.0821491898387</v>
      </c>
      <c r="AY9" s="33">
        <f t="shared" si="2"/>
        <v>10147.644613665534</v>
      </c>
      <c r="AZ9" s="33">
        <f t="shared" si="2"/>
        <v>10452.0739520755</v>
      </c>
      <c r="BA9" s="33">
        <f t="shared" si="2"/>
        <v>10765.636170637765</v>
      </c>
      <c r="BB9" s="33">
        <f t="shared" si="2"/>
        <v>11088.605255756898</v>
      </c>
      <c r="BC9" s="33">
        <f t="shared" si="2"/>
        <v>11421.263413429606</v>
      </c>
    </row>
    <row r="10" spans="1:55" ht="16" customHeight="1">
      <c r="A10" s="12" t="s">
        <v>18</v>
      </c>
      <c r="B10" s="25">
        <v>1.3</v>
      </c>
      <c r="C10" s="9" t="s">
        <v>20</v>
      </c>
      <c r="K10" s="21">
        <v>47453</v>
      </c>
      <c r="L10" s="7">
        <v>70</v>
      </c>
      <c r="M10" s="13">
        <f>(L10*91)/$B$92</f>
        <v>35.096418732782368</v>
      </c>
      <c r="N10" s="14">
        <f t="shared" si="0"/>
        <v>82.306181494485614</v>
      </c>
      <c r="O10" s="7">
        <f t="shared" si="1"/>
        <v>123.45927224172843</v>
      </c>
      <c r="Y10" s="36" t="s">
        <v>14</v>
      </c>
      <c r="Z10" s="37">
        <f>Z9</f>
        <v>4846.5715823747414</v>
      </c>
      <c r="AA10" s="37">
        <f>Z9+AA9</f>
        <v>9838.5403122207244</v>
      </c>
      <c r="AB10" s="37">
        <f>AA10+AB9</f>
        <v>14980.268103962087</v>
      </c>
      <c r="AC10" s="37">
        <f t="shared" ref="AC10:BC10" si="3">AB10+AC9</f>
        <v>20276.247729455692</v>
      </c>
      <c r="AD10" s="37">
        <f t="shared" si="3"/>
        <v>25731.106743714103</v>
      </c>
      <c r="AE10" s="37">
        <f t="shared" si="3"/>
        <v>31349.611528400266</v>
      </c>
      <c r="AF10" s="37">
        <f t="shared" si="3"/>
        <v>37136.671456627017</v>
      </c>
      <c r="AG10" s="37">
        <f t="shared" si="3"/>
        <v>43097.34318270057</v>
      </c>
      <c r="AH10" s="37">
        <f t="shared" si="3"/>
        <v>49236.835060556332</v>
      </c>
      <c r="AI10" s="37">
        <f t="shared" si="3"/>
        <v>55560.511694747765</v>
      </c>
      <c r="AJ10" s="37">
        <f t="shared" si="3"/>
        <v>62073.89862796494</v>
      </c>
      <c r="AK10" s="37">
        <f t="shared" si="3"/>
        <v>68782.687169178622</v>
      </c>
      <c r="AL10" s="37">
        <f t="shared" si="3"/>
        <v>75692.739366628724</v>
      </c>
      <c r="AM10" s="37">
        <f t="shared" si="3"/>
        <v>82810.093130002322</v>
      </c>
      <c r="AN10" s="37">
        <f t="shared" si="3"/>
        <v>90140.967506277128</v>
      </c>
      <c r="AO10" s="37">
        <f t="shared" si="3"/>
        <v>97691.768113840182</v>
      </c>
      <c r="AP10" s="37">
        <f t="shared" si="3"/>
        <v>105469.09273963013</v>
      </c>
      <c r="AQ10" s="37">
        <f t="shared" si="3"/>
        <v>113479.73710419377</v>
      </c>
      <c r="AR10" s="37">
        <f t="shared" si="3"/>
        <v>121730.70079969433</v>
      </c>
      <c r="AS10" s="37">
        <f t="shared" si="3"/>
        <v>130229.1934060599</v>
      </c>
      <c r="AT10" s="37">
        <f t="shared" si="3"/>
        <v>138982.64079061642</v>
      </c>
      <c r="AU10" s="37">
        <f t="shared" si="3"/>
        <v>147998.69159670966</v>
      </c>
      <c r="AV10" s="37">
        <f t="shared" si="3"/>
        <v>157285.22392698569</v>
      </c>
      <c r="AW10" s="37">
        <f t="shared" si="3"/>
        <v>166850.35222716999</v>
      </c>
      <c r="AX10" s="37">
        <f t="shared" si="3"/>
        <v>176702.43437635983</v>
      </c>
      <c r="AY10" s="37">
        <f t="shared" si="3"/>
        <v>186850.07899002536</v>
      </c>
      <c r="AZ10" s="37">
        <f t="shared" si="3"/>
        <v>197302.15294210086</v>
      </c>
      <c r="BA10" s="37">
        <f t="shared" si="3"/>
        <v>208067.78911273862</v>
      </c>
      <c r="BB10" s="37">
        <f t="shared" si="3"/>
        <v>219156.39436849553</v>
      </c>
      <c r="BC10" s="37">
        <f t="shared" si="3"/>
        <v>230577.65778192514</v>
      </c>
    </row>
    <row r="11" spans="1:55" ht="16" customHeight="1">
      <c r="A11" s="12" t="s">
        <v>19</v>
      </c>
      <c r="B11" s="25">
        <v>6.5</v>
      </c>
      <c r="C11" s="9" t="s">
        <v>20</v>
      </c>
      <c r="K11" s="21">
        <v>47484</v>
      </c>
      <c r="L11" s="7">
        <v>35</v>
      </c>
      <c r="M11" s="13">
        <f>(L11*91)/$B$92</f>
        <v>17.548209366391184</v>
      </c>
      <c r="N11" s="14">
        <f t="shared" si="0"/>
        <v>82.306181494485614</v>
      </c>
      <c r="O11" s="7">
        <f t="shared" si="1"/>
        <v>123.45927224172843</v>
      </c>
      <c r="P11" s="14">
        <f>L11-N11</f>
        <v>-47.306181494485614</v>
      </c>
      <c r="Q11" s="7" t="s">
        <v>82</v>
      </c>
      <c r="S11" s="7" t="str">
        <f>IF(P11&gt;0,"1","0")</f>
        <v>0</v>
      </c>
      <c r="Y11" t="s">
        <v>85</v>
      </c>
      <c r="Z11" s="33">
        <f>(B107*W4)+365*W3</f>
        <v>7087.357373562113</v>
      </c>
      <c r="AA11" s="33">
        <f t="shared" ref="AA11:BC11" si="4">Z11+(Z11*$W$5)</f>
        <v>7299.978094768976</v>
      </c>
      <c r="AB11" s="33">
        <f t="shared" si="4"/>
        <v>7518.9774376120449</v>
      </c>
      <c r="AC11" s="33">
        <f t="shared" si="4"/>
        <v>7744.5467607404062</v>
      </c>
      <c r="AD11" s="33">
        <f t="shared" si="4"/>
        <v>7976.8831635626184</v>
      </c>
      <c r="AE11" s="33">
        <f t="shared" si="4"/>
        <v>8216.1896584694969</v>
      </c>
      <c r="AF11" s="33">
        <f t="shared" si="4"/>
        <v>8462.6753482235818</v>
      </c>
      <c r="AG11" s="33">
        <f t="shared" si="4"/>
        <v>8716.5556086702891</v>
      </c>
      <c r="AH11" s="33">
        <f t="shared" si="4"/>
        <v>8978.0522769303971</v>
      </c>
      <c r="AI11" s="33">
        <f t="shared" si="4"/>
        <v>9247.3938452383081</v>
      </c>
      <c r="AJ11" s="33">
        <f t="shared" si="4"/>
        <v>9524.8156605954573</v>
      </c>
      <c r="AK11" s="33">
        <f t="shared" si="4"/>
        <v>9810.5601304133215</v>
      </c>
      <c r="AL11" s="33">
        <f t="shared" si="4"/>
        <v>10104.876934325721</v>
      </c>
      <c r="AM11" s="33">
        <f t="shared" si="4"/>
        <v>10408.023242355492</v>
      </c>
      <c r="AN11" s="33">
        <f t="shared" si="4"/>
        <v>10720.263939626157</v>
      </c>
      <c r="AO11" s="33">
        <f t="shared" si="4"/>
        <v>11041.871857814942</v>
      </c>
      <c r="AP11" s="33">
        <f t="shared" si="4"/>
        <v>11373.128013549391</v>
      </c>
      <c r="AQ11" s="33">
        <f t="shared" si="4"/>
        <v>11714.321853955873</v>
      </c>
      <c r="AR11" s="33">
        <f t="shared" si="4"/>
        <v>12065.751509574549</v>
      </c>
      <c r="AS11" s="33">
        <f t="shared" si="4"/>
        <v>12427.724054861786</v>
      </c>
      <c r="AT11" s="33">
        <f t="shared" si="4"/>
        <v>12800.555776507641</v>
      </c>
      <c r="AU11" s="33">
        <f t="shared" si="4"/>
        <v>13184.57244980287</v>
      </c>
      <c r="AV11" s="33">
        <f t="shared" si="4"/>
        <v>13580.109623296956</v>
      </c>
      <c r="AW11" s="33">
        <f t="shared" si="4"/>
        <v>13987.512911995864</v>
      </c>
      <c r="AX11" s="33">
        <f t="shared" si="4"/>
        <v>14407.13829935574</v>
      </c>
      <c r="AY11" s="33">
        <f t="shared" si="4"/>
        <v>14839.352448336413</v>
      </c>
      <c r="AZ11" s="33">
        <f t="shared" si="4"/>
        <v>15284.533021786505</v>
      </c>
      <c r="BA11" s="33">
        <f t="shared" si="4"/>
        <v>15743.069012440101</v>
      </c>
      <c r="BB11" s="33">
        <f t="shared" si="4"/>
        <v>16215.361082813304</v>
      </c>
      <c r="BC11" s="33">
        <f t="shared" si="4"/>
        <v>16701.821915297704</v>
      </c>
    </row>
    <row r="12" spans="1:55" ht="16" customHeight="1">
      <c r="A12" s="12" t="s">
        <v>24</v>
      </c>
      <c r="B12" s="25">
        <v>4.5999999999999996</v>
      </c>
      <c r="C12" s="9" t="s">
        <v>20</v>
      </c>
      <c r="K12" s="21">
        <v>47849</v>
      </c>
      <c r="L12" s="7">
        <v>35</v>
      </c>
      <c r="M12" s="13">
        <f>(L12*91)/$B$92</f>
        <v>17.548209366391184</v>
      </c>
      <c r="N12" s="14">
        <f t="shared" si="0"/>
        <v>82.306181494485614</v>
      </c>
      <c r="O12" s="7">
        <f t="shared" si="1"/>
        <v>123.45927224172843</v>
      </c>
      <c r="Y12" s="32" t="s">
        <v>85</v>
      </c>
      <c r="Z12" s="37">
        <f>Z11</f>
        <v>7087.357373562113</v>
      </c>
      <c r="AA12" s="37">
        <f>Z11+AA11</f>
        <v>14387.33546833109</v>
      </c>
      <c r="AB12" s="37">
        <f>AA12+AB11</f>
        <v>21906.312905943134</v>
      </c>
      <c r="AC12" s="37">
        <f t="shared" ref="AC12:BC12" si="5">AB12+AC11</f>
        <v>29650.85966668354</v>
      </c>
      <c r="AD12" s="37">
        <f t="shared" si="5"/>
        <v>37627.742830246156</v>
      </c>
      <c r="AE12" s="37">
        <f t="shared" si="5"/>
        <v>45843.932488715654</v>
      </c>
      <c r="AF12" s="37">
        <f t="shared" si="5"/>
        <v>54306.607836939234</v>
      </c>
      <c r="AG12" s="37">
        <f t="shared" si="5"/>
        <v>63023.16344560952</v>
      </c>
      <c r="AH12" s="37">
        <f t="shared" si="5"/>
        <v>72001.215722539913</v>
      </c>
      <c r="AI12" s="37">
        <f t="shared" si="5"/>
        <v>81248.609567778214</v>
      </c>
      <c r="AJ12" s="37">
        <f t="shared" si="5"/>
        <v>90773.425228373671</v>
      </c>
      <c r="AK12" s="37">
        <f t="shared" si="5"/>
        <v>100583.98535878699</v>
      </c>
      <c r="AL12" s="37">
        <f t="shared" si="5"/>
        <v>110688.8622931127</v>
      </c>
      <c r="AM12" s="37">
        <f t="shared" si="5"/>
        <v>121096.8855354682</v>
      </c>
      <c r="AN12" s="37">
        <f t="shared" si="5"/>
        <v>131817.14947509437</v>
      </c>
      <c r="AO12" s="37">
        <f t="shared" si="5"/>
        <v>142859.02133290929</v>
      </c>
      <c r="AP12" s="37">
        <f t="shared" si="5"/>
        <v>154232.1493464587</v>
      </c>
      <c r="AQ12" s="37">
        <f t="shared" si="5"/>
        <v>165946.47120041458</v>
      </c>
      <c r="AR12" s="37">
        <f t="shared" si="5"/>
        <v>178012.22270998915</v>
      </c>
      <c r="AS12" s="37">
        <f t="shared" si="5"/>
        <v>190439.94676485093</v>
      </c>
      <c r="AT12" s="37">
        <f t="shared" si="5"/>
        <v>203240.50254135858</v>
      </c>
      <c r="AU12" s="37">
        <f t="shared" si="5"/>
        <v>216425.07499116144</v>
      </c>
      <c r="AV12" s="37">
        <f t="shared" si="5"/>
        <v>230005.18461445838</v>
      </c>
      <c r="AW12" s="37">
        <f t="shared" si="5"/>
        <v>243992.69752645426</v>
      </c>
      <c r="AX12" s="37">
        <f t="shared" si="5"/>
        <v>258399.83582581001</v>
      </c>
      <c r="AY12" s="37">
        <f t="shared" si="5"/>
        <v>273239.18827414641</v>
      </c>
      <c r="AZ12" s="37">
        <f t="shared" si="5"/>
        <v>288523.72129593289</v>
      </c>
      <c r="BA12" s="37">
        <f t="shared" si="5"/>
        <v>304266.79030837299</v>
      </c>
      <c r="BB12" s="37">
        <f t="shared" si="5"/>
        <v>320482.15139118629</v>
      </c>
      <c r="BC12" s="37">
        <f t="shared" si="5"/>
        <v>337183.973306484</v>
      </c>
    </row>
    <row r="13" spans="1:55" ht="16" customHeight="1">
      <c r="A13" s="12" t="s">
        <v>22</v>
      </c>
      <c r="B13" s="26">
        <v>3.7</v>
      </c>
      <c r="C13" s="9" t="s">
        <v>20</v>
      </c>
      <c r="Y13" s="23" t="s">
        <v>117</v>
      </c>
      <c r="Z13" s="33">
        <f>('Data entry'!$L$12*B105*W4)+(365*W3)</f>
        <v>2270.75</v>
      </c>
      <c r="AA13" s="33">
        <f t="shared" ref="AA13:BC13" si="6">Z13+(Z13*$W$5)</f>
        <v>2338.8724999999999</v>
      </c>
      <c r="AB13" s="33">
        <f t="shared" si="6"/>
        <v>2409.0386749999998</v>
      </c>
      <c r="AC13" s="33">
        <f t="shared" si="6"/>
        <v>2481.3098352499997</v>
      </c>
      <c r="AD13" s="33">
        <f t="shared" si="6"/>
        <v>2555.7491303074999</v>
      </c>
      <c r="AE13" s="33">
        <f t="shared" si="6"/>
        <v>2632.421604216725</v>
      </c>
      <c r="AF13" s="33">
        <f t="shared" si="6"/>
        <v>2711.3942523432265</v>
      </c>
      <c r="AG13" s="33">
        <f t="shared" si="6"/>
        <v>2792.7360799135231</v>
      </c>
      <c r="AH13" s="33">
        <f t="shared" si="6"/>
        <v>2876.5181623109288</v>
      </c>
      <c r="AI13" s="33">
        <f t="shared" si="6"/>
        <v>2962.8137071802566</v>
      </c>
      <c r="AJ13" s="33">
        <f t="shared" si="6"/>
        <v>3051.6981183956646</v>
      </c>
      <c r="AK13" s="33">
        <f t="shared" si="6"/>
        <v>3143.2490619475343</v>
      </c>
      <c r="AL13" s="33">
        <f t="shared" si="6"/>
        <v>3237.5465338059603</v>
      </c>
      <c r="AM13" s="33">
        <f t="shared" si="6"/>
        <v>3334.672929820139</v>
      </c>
      <c r="AN13" s="33">
        <f t="shared" si="6"/>
        <v>3434.713117714743</v>
      </c>
      <c r="AO13" s="33">
        <f t="shared" si="6"/>
        <v>3537.7545112461853</v>
      </c>
      <c r="AP13" s="33">
        <f t="shared" si="6"/>
        <v>3643.8871465835709</v>
      </c>
      <c r="AQ13" s="33">
        <f t="shared" si="6"/>
        <v>3753.2037609810782</v>
      </c>
      <c r="AR13" s="33">
        <f t="shared" si="6"/>
        <v>3865.7998738105107</v>
      </c>
      <c r="AS13" s="33">
        <f t="shared" si="6"/>
        <v>3981.773870024826</v>
      </c>
      <c r="AT13" s="33">
        <f t="shared" si="6"/>
        <v>4101.2270861255711</v>
      </c>
      <c r="AU13" s="33">
        <f t="shared" si="6"/>
        <v>4224.2638987093378</v>
      </c>
      <c r="AV13" s="33">
        <f t="shared" si="6"/>
        <v>4350.9918156706181</v>
      </c>
      <c r="AW13" s="33">
        <f t="shared" si="6"/>
        <v>4481.5215701407369</v>
      </c>
      <c r="AX13" s="33">
        <f t="shared" si="6"/>
        <v>4615.9672172449591</v>
      </c>
      <c r="AY13" s="33">
        <f t="shared" si="6"/>
        <v>4754.4462337623081</v>
      </c>
      <c r="AZ13" s="33">
        <f t="shared" si="6"/>
        <v>4897.0796207751773</v>
      </c>
      <c r="BA13" s="33">
        <f t="shared" si="6"/>
        <v>5043.9920093984329</v>
      </c>
      <c r="BB13" s="33">
        <f t="shared" si="6"/>
        <v>5195.3117696803856</v>
      </c>
      <c r="BC13" s="33">
        <f t="shared" si="6"/>
        <v>5351.1711227707974</v>
      </c>
    </row>
    <row r="14" spans="1:55" ht="16" customHeight="1">
      <c r="A14" s="12" t="s">
        <v>23</v>
      </c>
      <c r="B14" s="26">
        <v>9.9</v>
      </c>
      <c r="C14" s="9" t="s">
        <v>20</v>
      </c>
      <c r="Y14" s="36" t="s">
        <v>117</v>
      </c>
      <c r="Z14" s="37">
        <f>Z13</f>
        <v>2270.75</v>
      </c>
      <c r="AA14" s="37">
        <f>Z13+AA13</f>
        <v>4609.6224999999995</v>
      </c>
      <c r="AB14" s="37">
        <f>AA14+AB13</f>
        <v>7018.6611749999993</v>
      </c>
      <c r="AC14" s="37">
        <f t="shared" ref="AC14:BC14" si="7">AB14+AC13</f>
        <v>9499.9710102499994</v>
      </c>
      <c r="AD14" s="37">
        <f t="shared" si="7"/>
        <v>12055.7201405575</v>
      </c>
      <c r="AE14" s="37">
        <f t="shared" si="7"/>
        <v>14688.141744774224</v>
      </c>
      <c r="AF14" s="37">
        <f t="shared" si="7"/>
        <v>17399.535997117451</v>
      </c>
      <c r="AG14" s="37">
        <f t="shared" si="7"/>
        <v>20192.272077030975</v>
      </c>
      <c r="AH14" s="37">
        <f t="shared" si="7"/>
        <v>23068.790239341903</v>
      </c>
      <c r="AI14" s="37">
        <f t="shared" si="7"/>
        <v>26031.603946522158</v>
      </c>
      <c r="AJ14" s="37">
        <f t="shared" si="7"/>
        <v>29083.302064917822</v>
      </c>
      <c r="AK14" s="37">
        <f t="shared" si="7"/>
        <v>32226.551126865357</v>
      </c>
      <c r="AL14" s="37">
        <f t="shared" si="7"/>
        <v>35464.097660671316</v>
      </c>
      <c r="AM14" s="37">
        <f t="shared" si="7"/>
        <v>38798.770590491455</v>
      </c>
      <c r="AN14" s="37">
        <f t="shared" si="7"/>
        <v>42233.4837082062</v>
      </c>
      <c r="AO14" s="37">
        <f t="shared" si="7"/>
        <v>45771.238219452389</v>
      </c>
      <c r="AP14" s="37">
        <f t="shared" si="7"/>
        <v>49415.125366035958</v>
      </c>
      <c r="AQ14" s="37">
        <f t="shared" si="7"/>
        <v>53168.329127017038</v>
      </c>
      <c r="AR14" s="37">
        <f t="shared" si="7"/>
        <v>57034.129000827546</v>
      </c>
      <c r="AS14" s="37">
        <f t="shared" si="7"/>
        <v>61015.902870852369</v>
      </c>
      <c r="AT14" s="37">
        <f t="shared" si="7"/>
        <v>65117.129956977937</v>
      </c>
      <c r="AU14" s="37">
        <f t="shared" si="7"/>
        <v>69341.393855687274</v>
      </c>
      <c r="AV14" s="37">
        <f t="shared" si="7"/>
        <v>73692.385671357886</v>
      </c>
      <c r="AW14" s="37">
        <f t="shared" si="7"/>
        <v>78173.907241498629</v>
      </c>
      <c r="AX14" s="37">
        <f t="shared" si="7"/>
        <v>82789.874458743594</v>
      </c>
      <c r="AY14" s="37">
        <f t="shared" si="7"/>
        <v>87544.320692505906</v>
      </c>
      <c r="AZ14" s="37">
        <f t="shared" si="7"/>
        <v>92441.400313281076</v>
      </c>
      <c r="BA14" s="37">
        <f t="shared" si="7"/>
        <v>97485.392322679516</v>
      </c>
      <c r="BB14" s="37">
        <f t="shared" si="7"/>
        <v>102680.7040923599</v>
      </c>
      <c r="BC14" s="37">
        <f t="shared" si="7"/>
        <v>108031.8752151307</v>
      </c>
    </row>
    <row r="15" spans="1:55" ht="16" customHeight="1">
      <c r="A15" s="12" t="s">
        <v>100</v>
      </c>
      <c r="B15" s="26">
        <v>176</v>
      </c>
      <c r="C15" s="9" t="s">
        <v>16</v>
      </c>
      <c r="Y15" s="23" t="s">
        <v>118</v>
      </c>
      <c r="Z15" s="33">
        <f>('Data entry'!$M$12*B105*W4)+(365*W3)</f>
        <v>1320.5</v>
      </c>
      <c r="AA15" s="33">
        <f t="shared" ref="AA15:BC15" si="8">Z15+(Z15*$W$5)</f>
        <v>1360.115</v>
      </c>
      <c r="AB15" s="33">
        <f t="shared" si="8"/>
        <v>1400.9184500000001</v>
      </c>
      <c r="AC15" s="33">
        <f t="shared" si="8"/>
        <v>1442.9460035000002</v>
      </c>
      <c r="AD15" s="33">
        <f t="shared" si="8"/>
        <v>1486.2343836050002</v>
      </c>
      <c r="AE15" s="33">
        <f t="shared" si="8"/>
        <v>1530.8214151131501</v>
      </c>
      <c r="AF15" s="33">
        <f t="shared" si="8"/>
        <v>1576.7460575665446</v>
      </c>
      <c r="AG15" s="33">
        <f t="shared" si="8"/>
        <v>1624.0484392935409</v>
      </c>
      <c r="AH15" s="33">
        <f t="shared" si="8"/>
        <v>1672.7698924723472</v>
      </c>
      <c r="AI15" s="33">
        <f t="shared" si="8"/>
        <v>1722.9529892465177</v>
      </c>
      <c r="AJ15" s="33">
        <f t="shared" si="8"/>
        <v>1774.6415789239134</v>
      </c>
      <c r="AK15" s="33">
        <f t="shared" si="8"/>
        <v>1827.8808262916307</v>
      </c>
      <c r="AL15" s="33">
        <f t="shared" si="8"/>
        <v>1882.7172510803796</v>
      </c>
      <c r="AM15" s="33">
        <f t="shared" si="8"/>
        <v>1939.1987686127909</v>
      </c>
      <c r="AN15" s="33">
        <f t="shared" si="8"/>
        <v>1997.3747316711747</v>
      </c>
      <c r="AO15" s="33">
        <f t="shared" si="8"/>
        <v>2057.2959736213097</v>
      </c>
      <c r="AP15" s="33">
        <f t="shared" si="8"/>
        <v>2119.0148528299492</v>
      </c>
      <c r="AQ15" s="33">
        <f t="shared" si="8"/>
        <v>2182.5852984148478</v>
      </c>
      <c r="AR15" s="33">
        <f t="shared" si="8"/>
        <v>2248.0628573672934</v>
      </c>
      <c r="AS15" s="33">
        <f t="shared" si="8"/>
        <v>2315.5047430883124</v>
      </c>
      <c r="AT15" s="33">
        <f t="shared" si="8"/>
        <v>2384.9698853809618</v>
      </c>
      <c r="AU15" s="33">
        <f t="shared" si="8"/>
        <v>2456.5189819423908</v>
      </c>
      <c r="AV15" s="33">
        <f t="shared" si="8"/>
        <v>2530.2145514006625</v>
      </c>
      <c r="AW15" s="33">
        <f t="shared" si="8"/>
        <v>2606.1209879426824</v>
      </c>
      <c r="AX15" s="33">
        <f t="shared" si="8"/>
        <v>2684.3046175809627</v>
      </c>
      <c r="AY15" s="33">
        <f t="shared" si="8"/>
        <v>2764.8337561083918</v>
      </c>
      <c r="AZ15" s="33">
        <f t="shared" si="8"/>
        <v>2847.7787687916434</v>
      </c>
      <c r="BA15" s="33">
        <f t="shared" si="8"/>
        <v>2933.2121318553927</v>
      </c>
      <c r="BB15" s="33">
        <f t="shared" si="8"/>
        <v>3021.2084958110545</v>
      </c>
      <c r="BC15" s="33">
        <f t="shared" si="8"/>
        <v>3111.8447506853863</v>
      </c>
    </row>
    <row r="16" spans="1:55" ht="16" customHeight="1">
      <c r="A16" s="12"/>
      <c r="B16" s="9"/>
      <c r="C16" s="9"/>
      <c r="Y16" s="36" t="s">
        <v>118</v>
      </c>
      <c r="Z16" s="37">
        <f>Z15</f>
        <v>1320.5</v>
      </c>
      <c r="AA16" s="37">
        <f>Z15+AA15</f>
        <v>2680.6149999999998</v>
      </c>
      <c r="AB16" s="37">
        <f>AA16+AB15</f>
        <v>4081.5334499999999</v>
      </c>
      <c r="AC16" s="37">
        <f t="shared" ref="AC16:BC16" si="9">AB16+AC15</f>
        <v>5524.4794535000001</v>
      </c>
      <c r="AD16" s="37">
        <f t="shared" si="9"/>
        <v>7010.7138371050005</v>
      </c>
      <c r="AE16" s="37">
        <f t="shared" si="9"/>
        <v>8541.5352522181511</v>
      </c>
      <c r="AF16" s="37">
        <f t="shared" si="9"/>
        <v>10118.281309784696</v>
      </c>
      <c r="AG16" s="37">
        <f t="shared" si="9"/>
        <v>11742.329749078237</v>
      </c>
      <c r="AH16" s="37">
        <f t="shared" si="9"/>
        <v>13415.099641550583</v>
      </c>
      <c r="AI16" s="37">
        <f t="shared" si="9"/>
        <v>15138.052630797101</v>
      </c>
      <c r="AJ16" s="37">
        <f t="shared" si="9"/>
        <v>16912.694209721016</v>
      </c>
      <c r="AK16" s="37">
        <f t="shared" si="9"/>
        <v>18740.575036012648</v>
      </c>
      <c r="AL16" s="37">
        <f t="shared" si="9"/>
        <v>20623.292287093027</v>
      </c>
      <c r="AM16" s="37">
        <f t="shared" si="9"/>
        <v>22562.491055705817</v>
      </c>
      <c r="AN16" s="37">
        <f t="shared" si="9"/>
        <v>24559.865787376992</v>
      </c>
      <c r="AO16" s="37">
        <f t="shared" si="9"/>
        <v>26617.1617609983</v>
      </c>
      <c r="AP16" s="37">
        <f t="shared" si="9"/>
        <v>28736.176613828251</v>
      </c>
      <c r="AQ16" s="37">
        <f t="shared" si="9"/>
        <v>30918.761912243099</v>
      </c>
      <c r="AR16" s="37">
        <f t="shared" si="9"/>
        <v>33166.824769610394</v>
      </c>
      <c r="AS16" s="37">
        <f t="shared" si="9"/>
        <v>35482.329512698707</v>
      </c>
      <c r="AT16" s="37">
        <f t="shared" si="9"/>
        <v>37867.299398079667</v>
      </c>
      <c r="AU16" s="37">
        <f t="shared" si="9"/>
        <v>40323.818380022058</v>
      </c>
      <c r="AV16" s="37">
        <f t="shared" si="9"/>
        <v>42854.03293142272</v>
      </c>
      <c r="AW16" s="37">
        <f t="shared" si="9"/>
        <v>45460.153919365403</v>
      </c>
      <c r="AX16" s="37">
        <f t="shared" si="9"/>
        <v>48144.458536946368</v>
      </c>
      <c r="AY16" s="37">
        <f t="shared" si="9"/>
        <v>50909.292293054757</v>
      </c>
      <c r="AZ16" s="37">
        <f t="shared" si="9"/>
        <v>53757.0710618464</v>
      </c>
      <c r="BA16" s="37">
        <f t="shared" si="9"/>
        <v>56690.283193701791</v>
      </c>
      <c r="BB16" s="37">
        <f t="shared" si="9"/>
        <v>59711.491689512848</v>
      </c>
      <c r="BC16" s="37">
        <f t="shared" si="9"/>
        <v>62823.336440198233</v>
      </c>
    </row>
    <row r="17" spans="1:55">
      <c r="A17" s="13" t="s">
        <v>17</v>
      </c>
      <c r="B17" s="9"/>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1:55">
      <c r="A18" s="7" t="s">
        <v>56</v>
      </c>
      <c r="B18" s="26">
        <v>66</v>
      </c>
    </row>
    <row r="19" spans="1:55">
      <c r="A19" s="7" t="s">
        <v>3</v>
      </c>
      <c r="B19" s="27">
        <v>197</v>
      </c>
      <c r="C19" s="9" t="s">
        <v>21</v>
      </c>
    </row>
    <row r="20" spans="1:55">
      <c r="A20" s="7" t="s">
        <v>25</v>
      </c>
      <c r="B20" s="25">
        <v>162.30000000000001</v>
      </c>
      <c r="C20" s="7" t="s">
        <v>16</v>
      </c>
    </row>
    <row r="21" spans="1:55">
      <c r="A21" s="29" t="s">
        <v>102</v>
      </c>
      <c r="B21" s="25">
        <v>181.5</v>
      </c>
      <c r="C21" s="7" t="s">
        <v>16</v>
      </c>
    </row>
    <row r="22" spans="1:55">
      <c r="A22" s="7" t="s">
        <v>41</v>
      </c>
      <c r="B22" s="25">
        <v>0</v>
      </c>
      <c r="C22" s="7" t="s">
        <v>11</v>
      </c>
      <c r="D22" s="25">
        <v>200</v>
      </c>
      <c r="E22" s="15" t="s">
        <v>47</v>
      </c>
      <c r="F22" s="15"/>
    </row>
    <row r="23" spans="1:55">
      <c r="A23" s="7" t="s">
        <v>43</v>
      </c>
      <c r="B23" s="25">
        <v>0</v>
      </c>
      <c r="C23" s="7" t="s">
        <v>11</v>
      </c>
      <c r="D23" s="25">
        <v>220</v>
      </c>
      <c r="E23" s="7" t="s">
        <v>47</v>
      </c>
    </row>
    <row r="24" spans="1:55">
      <c r="A24" s="7" t="s">
        <v>42</v>
      </c>
      <c r="B24" s="25">
        <v>1</v>
      </c>
      <c r="C24" s="7" t="s">
        <v>11</v>
      </c>
      <c r="D24" s="25">
        <v>280</v>
      </c>
      <c r="E24" s="7" t="s">
        <v>47</v>
      </c>
      <c r="T24" s="7" t="str">
        <f>IF(S34=2,"NO","YES")</f>
        <v>YES</v>
      </c>
    </row>
    <row r="25" spans="1:55">
      <c r="A25" s="7" t="s">
        <v>63</v>
      </c>
      <c r="B25" s="25">
        <v>1</v>
      </c>
      <c r="C25" s="7" t="s">
        <v>11</v>
      </c>
      <c r="D25" s="25">
        <v>3</v>
      </c>
      <c r="E25" s="7" t="s">
        <v>77</v>
      </c>
      <c r="F25" s="25">
        <v>325</v>
      </c>
      <c r="G25" s="15" t="s">
        <v>47</v>
      </c>
      <c r="H25" s="25">
        <v>80</v>
      </c>
      <c r="I25" s="15" t="s">
        <v>78</v>
      </c>
    </row>
    <row r="26" spans="1:55">
      <c r="A26" s="7" t="s">
        <v>64</v>
      </c>
      <c r="B26" s="25">
        <v>1</v>
      </c>
      <c r="C26" s="7" t="s">
        <v>11</v>
      </c>
      <c r="D26" s="25">
        <v>5</v>
      </c>
      <c r="E26" s="7" t="s">
        <v>77</v>
      </c>
      <c r="F26" s="25">
        <v>240</v>
      </c>
      <c r="G26" s="15" t="s">
        <v>47</v>
      </c>
      <c r="H26" s="25">
        <v>11</v>
      </c>
      <c r="I26" s="15" t="s">
        <v>78</v>
      </c>
    </row>
    <row r="27" spans="1:55">
      <c r="A27" s="7" t="s">
        <v>79</v>
      </c>
      <c r="B27" s="25">
        <v>1</v>
      </c>
      <c r="C27" s="7" t="s">
        <v>11</v>
      </c>
      <c r="D27" s="25">
        <v>3</v>
      </c>
      <c r="E27" s="7" t="s">
        <v>77</v>
      </c>
      <c r="F27" s="25">
        <v>140</v>
      </c>
      <c r="G27" s="15" t="s">
        <v>47</v>
      </c>
    </row>
    <row r="28" spans="1:55">
      <c r="A28" s="7" t="s">
        <v>37</v>
      </c>
      <c r="B28" s="25">
        <v>65</v>
      </c>
      <c r="C28" s="7" t="s">
        <v>38</v>
      </c>
    </row>
    <row r="29" spans="1:55">
      <c r="A29" s="7" t="s">
        <v>89</v>
      </c>
      <c r="B29" s="25">
        <v>4</v>
      </c>
      <c r="C29" s="7" t="s">
        <v>11</v>
      </c>
      <c r="D29" s="25">
        <v>4</v>
      </c>
      <c r="E29" s="7" t="s">
        <v>90</v>
      </c>
      <c r="F29" s="25">
        <v>120</v>
      </c>
      <c r="G29" s="7" t="s">
        <v>91</v>
      </c>
      <c r="H29" s="25">
        <v>30</v>
      </c>
      <c r="I29" s="7" t="s">
        <v>88</v>
      </c>
    </row>
    <row r="30" spans="1:55">
      <c r="A30" s="7" t="s">
        <v>92</v>
      </c>
      <c r="B30" s="25" t="s">
        <v>95</v>
      </c>
      <c r="D30" s="7">
        <f>VLOOKUP(B30,A88:B90,2,FALSE)</f>
        <v>0.2</v>
      </c>
      <c r="E30" s="7" t="s">
        <v>96</v>
      </c>
    </row>
    <row r="32" spans="1:55">
      <c r="A32" s="7" t="s">
        <v>84</v>
      </c>
      <c r="B32" s="24">
        <f>IF(A5="NatHERS",0.5,0.05)</f>
        <v>0.5</v>
      </c>
      <c r="C32" s="13"/>
    </row>
    <row r="33" spans="1:19">
      <c r="L33" s="7" t="s">
        <v>97</v>
      </c>
      <c r="M33" s="7" t="s">
        <v>13</v>
      </c>
    </row>
    <row r="34" spans="1:19">
      <c r="A34" s="13" t="s">
        <v>0</v>
      </c>
      <c r="K34" s="19">
        <v>43831</v>
      </c>
      <c r="L34" s="13">
        <v>110</v>
      </c>
      <c r="M34" s="14">
        <f>$B$51</f>
        <v>109.50684931506849</v>
      </c>
      <c r="N34" s="20" t="s">
        <v>2</v>
      </c>
      <c r="S34" s="7">
        <f>S11+S38</f>
        <v>0</v>
      </c>
    </row>
    <row r="35" spans="1:19">
      <c r="A35" s="7" t="s">
        <v>22</v>
      </c>
      <c r="B35" s="25" t="s">
        <v>29</v>
      </c>
      <c r="D35" s="7" t="str">
        <f>VLOOKUP(B35,A96:B99,2,FALSE)</f>
        <v>Thanks for choosing electricity, you'll probably get better value with a heat pump!</v>
      </c>
      <c r="K35" s="21">
        <v>45627</v>
      </c>
      <c r="L35" s="7">
        <v>110</v>
      </c>
      <c r="M35" s="14">
        <f>$B$51</f>
        <v>109.50684931506849</v>
      </c>
      <c r="N35" s="20" t="s">
        <v>2</v>
      </c>
    </row>
    <row r="36" spans="1:19">
      <c r="A36" s="13" t="s">
        <v>32</v>
      </c>
      <c r="K36" s="21">
        <v>45658</v>
      </c>
      <c r="L36" s="7">
        <v>95</v>
      </c>
      <c r="M36" s="14">
        <f>$B$51</f>
        <v>109.50684931506849</v>
      </c>
      <c r="N36" s="20" t="s">
        <v>2</v>
      </c>
    </row>
    <row r="37" spans="1:19">
      <c r="A37" s="7" t="s">
        <v>7</v>
      </c>
      <c r="B37" s="25">
        <v>7.5</v>
      </c>
      <c r="C37" s="7" t="s">
        <v>8</v>
      </c>
      <c r="E37" s="14"/>
      <c r="K37" s="21">
        <v>47453</v>
      </c>
      <c r="L37" s="7">
        <v>95</v>
      </c>
      <c r="M37" s="14">
        <f>$B$51</f>
        <v>109.50684931506849</v>
      </c>
      <c r="N37" s="20" t="s">
        <v>2</v>
      </c>
    </row>
    <row r="38" spans="1:19">
      <c r="A38" s="7" t="s">
        <v>9</v>
      </c>
      <c r="B38" s="25">
        <v>7</v>
      </c>
      <c r="C38" s="7" t="s">
        <v>10</v>
      </c>
      <c r="K38" s="21">
        <v>47484</v>
      </c>
      <c r="L38" s="7">
        <v>75</v>
      </c>
      <c r="M38" s="14">
        <f>$B$51</f>
        <v>109.50684931506849</v>
      </c>
      <c r="N38" s="20" t="s">
        <v>2</v>
      </c>
      <c r="P38" s="7">
        <f>L38-M38</f>
        <v>-34.506849315068493</v>
      </c>
      <c r="Q38" s="7" t="s">
        <v>82</v>
      </c>
      <c r="S38" s="7" t="str">
        <f>IF(P38&gt;0,"1","0")</f>
        <v>0</v>
      </c>
    </row>
    <row r="39" spans="1:19">
      <c r="A39" s="7" t="s">
        <v>12</v>
      </c>
      <c r="B39" s="25">
        <v>0.8</v>
      </c>
      <c r="C39" s="7" t="s">
        <v>11</v>
      </c>
      <c r="G39" s="14"/>
      <c r="K39" s="21"/>
      <c r="M39" s="14"/>
      <c r="N39" s="20"/>
    </row>
    <row r="40" spans="1:19">
      <c r="A40" s="13" t="s">
        <v>33</v>
      </c>
      <c r="K40" s="21"/>
      <c r="M40" s="14"/>
      <c r="N40" s="20"/>
    </row>
    <row r="41" spans="1:19">
      <c r="A41" s="7" t="s">
        <v>61</v>
      </c>
      <c r="B41" s="25">
        <v>15</v>
      </c>
      <c r="C41" s="7" t="s">
        <v>6</v>
      </c>
      <c r="K41" s="21">
        <v>47849</v>
      </c>
      <c r="L41" s="7">
        <v>75</v>
      </c>
      <c r="M41" s="14">
        <f>$B$51</f>
        <v>109.50684931506849</v>
      </c>
      <c r="N41" s="20" t="s">
        <v>2</v>
      </c>
    </row>
    <row r="42" spans="1:19">
      <c r="A42" s="7" t="s">
        <v>34</v>
      </c>
      <c r="B42" s="25">
        <v>9</v>
      </c>
      <c r="C42" s="7" t="s">
        <v>6</v>
      </c>
    </row>
    <row r="43" spans="1:19">
      <c r="A43" s="13" t="s">
        <v>0</v>
      </c>
    </row>
    <row r="44" spans="1:19">
      <c r="A44" s="47" t="s">
        <v>62</v>
      </c>
      <c r="B44" s="46">
        <f>((D44*F44)+(D45*F45))*B7</f>
        <v>54</v>
      </c>
      <c r="C44" s="46" t="s">
        <v>6</v>
      </c>
      <c r="D44" s="25">
        <v>4.5</v>
      </c>
      <c r="E44" s="7" t="s">
        <v>75</v>
      </c>
      <c r="F44" s="25">
        <v>1</v>
      </c>
      <c r="G44" s="7" t="s">
        <v>76</v>
      </c>
    </row>
    <row r="45" spans="1:19">
      <c r="A45" s="47"/>
      <c r="B45" s="46"/>
      <c r="C45" s="46"/>
      <c r="D45" s="25">
        <v>3</v>
      </c>
      <c r="E45" s="7" t="s">
        <v>74</v>
      </c>
      <c r="F45" s="25">
        <v>3</v>
      </c>
      <c r="G45" s="7" t="s">
        <v>76</v>
      </c>
    </row>
    <row r="46" spans="1:19">
      <c r="A46" s="7" t="s">
        <v>104</v>
      </c>
      <c r="B46" s="25">
        <v>23</v>
      </c>
      <c r="C46" s="7" t="s">
        <v>6</v>
      </c>
    </row>
    <row r="47" spans="1:19">
      <c r="A47" s="7" t="s">
        <v>105</v>
      </c>
      <c r="B47" s="25">
        <v>100</v>
      </c>
      <c r="C47" s="7" t="s">
        <v>6</v>
      </c>
    </row>
    <row r="48" spans="1:19" ht="16" customHeight="1">
      <c r="A48" s="7" t="s">
        <v>64</v>
      </c>
      <c r="B48" s="14">
        <f>(D26*H26)*52/365</f>
        <v>7.8356164383561646</v>
      </c>
      <c r="C48" s="7" t="s">
        <v>6</v>
      </c>
    </row>
    <row r="49" spans="1:16" ht="16" customHeight="1">
      <c r="A49" s="7" t="s">
        <v>63</v>
      </c>
      <c r="B49" s="14">
        <f>(D25*H25)*52/365</f>
        <v>34.19178082191781</v>
      </c>
      <c r="C49" s="7" t="s">
        <v>6</v>
      </c>
      <c r="D49" s="30"/>
      <c r="E49" s="29"/>
      <c r="F49" s="30"/>
    </row>
    <row r="50" spans="1:16" ht="16" customHeight="1">
      <c r="B50" s="14"/>
      <c r="D50" s="30"/>
      <c r="E50" s="29"/>
      <c r="F50" s="30"/>
      <c r="K50" s="48" t="s">
        <v>81</v>
      </c>
      <c r="L50" s="48"/>
      <c r="M50" s="48"/>
      <c r="N50" s="48"/>
      <c r="O50" s="44" t="str">
        <f>T24</f>
        <v>YES</v>
      </c>
      <c r="P50" s="44"/>
    </row>
    <row r="51" spans="1:16" ht="16" customHeight="1">
      <c r="A51" s="13" t="s">
        <v>153</v>
      </c>
      <c r="B51" s="14">
        <f>B83/B7</f>
        <v>109.50684931506849</v>
      </c>
      <c r="C51" s="7" t="s">
        <v>154</v>
      </c>
      <c r="D51" s="30"/>
      <c r="E51" s="29"/>
      <c r="F51" s="30"/>
      <c r="K51" s="48"/>
      <c r="L51" s="48"/>
      <c r="M51" s="48"/>
      <c r="N51" s="48"/>
      <c r="O51" s="44"/>
      <c r="P51" s="44"/>
    </row>
    <row r="53" spans="1:16" s="16" customFormat="1" hidden="1">
      <c r="A53" s="16" t="s">
        <v>80</v>
      </c>
    </row>
    <row r="54" spans="1:16" hidden="1">
      <c r="A54" s="7" t="s">
        <v>30</v>
      </c>
      <c r="B54" s="7">
        <f>(B37*B38*B39*B7)/2</f>
        <v>84</v>
      </c>
      <c r="C54" s="7" t="s">
        <v>31</v>
      </c>
    </row>
    <row r="55" spans="1:16" hidden="1">
      <c r="A55" s="7" t="s">
        <v>35</v>
      </c>
      <c r="B55" s="7">
        <f>B41/1.5</f>
        <v>10</v>
      </c>
      <c r="C55" s="7" t="s">
        <v>31</v>
      </c>
    </row>
    <row r="56" spans="1:16" hidden="1">
      <c r="A56" s="7" t="s">
        <v>36</v>
      </c>
      <c r="B56" s="7">
        <f>(B42*B7)/2</f>
        <v>18</v>
      </c>
      <c r="C56" s="7" t="s">
        <v>31</v>
      </c>
    </row>
    <row r="57" spans="1:16" s="13" customFormat="1" hidden="1">
      <c r="A57" s="13" t="s">
        <v>65</v>
      </c>
      <c r="B57" s="13">
        <f>SUM(B54:B56)</f>
        <v>112</v>
      </c>
      <c r="C57" s="13" t="s">
        <v>6</v>
      </c>
    </row>
    <row r="58" spans="1:16" hidden="1">
      <c r="A58" s="13"/>
      <c r="B58" s="17"/>
    </row>
    <row r="59" spans="1:16" hidden="1">
      <c r="A59" s="7" t="s">
        <v>26</v>
      </c>
      <c r="B59" s="17">
        <f>J59/$B$92</f>
        <v>6.5348760330578513</v>
      </c>
      <c r="C59" s="9" t="s">
        <v>20</v>
      </c>
      <c r="D59" s="7">
        <v>2118</v>
      </c>
      <c r="E59" s="7" t="s">
        <v>71</v>
      </c>
      <c r="H59" s="7">
        <f>D59/200</f>
        <v>10.59</v>
      </c>
      <c r="I59" s="7" t="s">
        <v>68</v>
      </c>
      <c r="J59" s="7">
        <f>$B$57*H59</f>
        <v>1186.08</v>
      </c>
      <c r="K59" s="7" t="s">
        <v>69</v>
      </c>
      <c r="L59" s="15" t="s">
        <v>70</v>
      </c>
    </row>
    <row r="60" spans="1:16" hidden="1">
      <c r="A60" s="7" t="s">
        <v>27</v>
      </c>
      <c r="B60" s="17">
        <f>J60/$B$92</f>
        <v>15.891521273339455</v>
      </c>
      <c r="C60" s="9" t="s">
        <v>20</v>
      </c>
      <c r="D60" s="7">
        <v>18542</v>
      </c>
      <c r="E60" s="7" t="s">
        <v>66</v>
      </c>
      <c r="F60" s="7">
        <f>D60/200</f>
        <v>92.71</v>
      </c>
      <c r="G60" s="7" t="s">
        <v>67</v>
      </c>
      <c r="H60" s="7">
        <f>F60/3.6</f>
        <v>25.752777777777776</v>
      </c>
      <c r="I60" s="7" t="s">
        <v>68</v>
      </c>
      <c r="J60" s="7">
        <f>$B$57*H60</f>
        <v>2884.3111111111111</v>
      </c>
      <c r="K60" s="7" t="s">
        <v>69</v>
      </c>
      <c r="L60" s="15" t="s">
        <v>72</v>
      </c>
    </row>
    <row r="61" spans="1:16" hidden="1">
      <c r="A61" s="7" t="s">
        <v>28</v>
      </c>
      <c r="B61" s="17">
        <f>J61/$B$92</f>
        <v>18.418977655341294</v>
      </c>
      <c r="C61" s="9" t="s">
        <v>20</v>
      </c>
      <c r="D61" s="7">
        <v>21491</v>
      </c>
      <c r="E61" s="7" t="s">
        <v>66</v>
      </c>
      <c r="F61" s="7">
        <f>D61/200</f>
        <v>107.455</v>
      </c>
      <c r="G61" s="7" t="s">
        <v>67</v>
      </c>
      <c r="H61" s="7">
        <f>F61/3.6</f>
        <v>29.848611111111111</v>
      </c>
      <c r="I61" s="7" t="s">
        <v>68</v>
      </c>
      <c r="J61" s="7">
        <f>$B$57*H61</f>
        <v>3343.0444444444447</v>
      </c>
      <c r="K61" s="7" t="s">
        <v>69</v>
      </c>
      <c r="L61" s="15" t="s">
        <v>72</v>
      </c>
    </row>
    <row r="62" spans="1:16" hidden="1">
      <c r="A62" s="7" t="s">
        <v>29</v>
      </c>
      <c r="B62" s="17">
        <f>J62/$B$92</f>
        <v>13.979944903581268</v>
      </c>
      <c r="C62" s="9" t="s">
        <v>20</v>
      </c>
      <c r="D62" s="7">
        <v>4531</v>
      </c>
      <c r="E62" s="7" t="s">
        <v>71</v>
      </c>
      <c r="H62" s="7">
        <f>D62/200</f>
        <v>22.655000000000001</v>
      </c>
      <c r="I62" s="7" t="s">
        <v>68</v>
      </c>
      <c r="J62" s="7">
        <f>$B$57*H62</f>
        <v>2537.36</v>
      </c>
      <c r="K62" s="7" t="s">
        <v>69</v>
      </c>
      <c r="L62" s="15" t="s">
        <v>70</v>
      </c>
    </row>
    <row r="63" spans="1:16" hidden="1">
      <c r="A63" s="13" t="s">
        <v>73</v>
      </c>
      <c r="B63" s="18">
        <f>VLOOKUP(B35,A59:B62,2,FALSE)</f>
        <v>13.979944903581268</v>
      </c>
      <c r="C63" s="22" t="s">
        <v>20</v>
      </c>
    </row>
    <row r="64" spans="1:16" hidden="1"/>
    <row r="65" spans="1:3" hidden="1">
      <c r="A65" s="7" t="s">
        <v>57</v>
      </c>
      <c r="B65" s="17">
        <f>(B19/3.6)</f>
        <v>54.722222222222221</v>
      </c>
      <c r="C65" s="9" t="s">
        <v>20</v>
      </c>
    </row>
    <row r="66" spans="1:3" hidden="1">
      <c r="A66" s="7" t="s">
        <v>59</v>
      </c>
      <c r="B66" s="17">
        <f>VLOOKUP(B18,'Behind the scenes'!A5:J73,10,FALSE)+1</f>
        <v>1.0500573011561722</v>
      </c>
      <c r="C66" s="9"/>
    </row>
    <row r="67" spans="1:3" hidden="1">
      <c r="A67" s="7" t="s">
        <v>58</v>
      </c>
      <c r="B67" s="17">
        <f>B65*B66</f>
        <v>57.461468979934978</v>
      </c>
      <c r="C67" s="9" t="s">
        <v>20</v>
      </c>
    </row>
    <row r="68" spans="1:3" hidden="1">
      <c r="A68" s="7" t="s">
        <v>40</v>
      </c>
      <c r="B68" s="17">
        <f>(80*0.55*B7)/B92</f>
        <v>0.96969696969696972</v>
      </c>
      <c r="C68" s="9" t="s">
        <v>20</v>
      </c>
    </row>
    <row r="69" spans="1:3" hidden="1">
      <c r="A69" s="7" t="s">
        <v>44</v>
      </c>
      <c r="B69" s="17">
        <f>(B22*D22)/$B$92</f>
        <v>0</v>
      </c>
      <c r="C69" s="9" t="s">
        <v>20</v>
      </c>
    </row>
    <row r="70" spans="1:3" hidden="1">
      <c r="A70" s="7" t="s">
        <v>45</v>
      </c>
      <c r="B70" s="17">
        <f>(B23*D23)/$B$92</f>
        <v>0</v>
      </c>
      <c r="C70" s="9" t="s">
        <v>20</v>
      </c>
    </row>
    <row r="71" spans="1:3" hidden="1">
      <c r="A71" s="7" t="s">
        <v>46</v>
      </c>
      <c r="B71" s="17">
        <f>(B24*D24)/$B$92</f>
        <v>1.5426997245179064</v>
      </c>
      <c r="C71" s="9" t="s">
        <v>20</v>
      </c>
    </row>
    <row r="72" spans="1:3" hidden="1">
      <c r="A72" s="7" t="s">
        <v>63</v>
      </c>
      <c r="B72" s="17">
        <f>((F25/365)*D25*52)/$B$92</f>
        <v>0.76531189856220994</v>
      </c>
      <c r="C72" s="9" t="s">
        <v>20</v>
      </c>
    </row>
    <row r="73" spans="1:3" hidden="1">
      <c r="A73" s="7" t="s">
        <v>64</v>
      </c>
      <c r="B73" s="17">
        <f>((F26/365)*D26*52)/$B$92</f>
        <v>0.94192233669195069</v>
      </c>
      <c r="C73" s="9" t="s">
        <v>20</v>
      </c>
    </row>
    <row r="74" spans="1:3" hidden="1">
      <c r="A74" s="7" t="s">
        <v>79</v>
      </c>
      <c r="B74" s="17">
        <f>((F27/52)*D27*52)/B92</f>
        <v>2.3140495867768593</v>
      </c>
      <c r="C74" s="9" t="s">
        <v>20</v>
      </c>
    </row>
    <row r="75" spans="1:3" hidden="1">
      <c r="A75" s="7" t="s">
        <v>39</v>
      </c>
      <c r="B75" s="17">
        <f>((720/B28)*2.9*B7)/B92</f>
        <v>0.70794659885568978</v>
      </c>
      <c r="C75" s="9" t="s">
        <v>20</v>
      </c>
    </row>
    <row r="76" spans="1:3" hidden="1">
      <c r="A76" s="7" t="s">
        <v>87</v>
      </c>
      <c r="B76" s="17">
        <f>(50*B7)/B92</f>
        <v>1.1019283746556474</v>
      </c>
      <c r="C76" s="9" t="s">
        <v>20</v>
      </c>
    </row>
    <row r="77" spans="1:3" hidden="1">
      <c r="A77" s="7" t="s">
        <v>89</v>
      </c>
      <c r="B77" s="17">
        <f>(B29*D29*F29*(H29/1000))/B92</f>
        <v>0.31735537190082641</v>
      </c>
      <c r="C77" s="9" t="s">
        <v>20</v>
      </c>
    </row>
    <row r="78" spans="1:3" hidden="1">
      <c r="A78" s="7" t="s">
        <v>92</v>
      </c>
      <c r="B78" s="17">
        <f>(D30*500*B7)/B92</f>
        <v>2.2038567493112948</v>
      </c>
      <c r="C78" s="9" t="s">
        <v>20</v>
      </c>
    </row>
    <row r="79" spans="1:3" hidden="1"/>
    <row r="80" spans="1:3" hidden="1">
      <c r="A80" s="11" t="s">
        <v>15</v>
      </c>
      <c r="B80" s="14">
        <f>SUM('Data entry'!B10:B14)</f>
        <v>26</v>
      </c>
      <c r="C80" s="9" t="s">
        <v>20</v>
      </c>
    </row>
    <row r="81" spans="1:3" hidden="1">
      <c r="A81" s="13" t="s">
        <v>17</v>
      </c>
      <c r="B81" s="14">
        <f>SUM(B67:B78)+B63</f>
        <v>82.306181494485614</v>
      </c>
      <c r="C81" s="9" t="s">
        <v>20</v>
      </c>
    </row>
    <row r="82" spans="1:3" hidden="1"/>
    <row r="83" spans="1:3" hidden="1">
      <c r="A83" s="13" t="s">
        <v>0</v>
      </c>
      <c r="B83" s="14">
        <f>B41+B44+B46+B47+B48+B49+(((B42+(B37*B38*B39))*B7))</f>
        <v>438.02739726027397</v>
      </c>
      <c r="C83" s="7" t="s">
        <v>83</v>
      </c>
    </row>
    <row r="84" spans="1:3" hidden="1"/>
    <row r="85" spans="1:3" hidden="1"/>
    <row r="86" spans="1:3" hidden="1">
      <c r="A86" s="7" t="s">
        <v>86</v>
      </c>
      <c r="B86" s="17">
        <f>SUM(B68:B78)</f>
        <v>10.864767610969356</v>
      </c>
    </row>
    <row r="87" spans="1:3" hidden="1"/>
    <row r="88" spans="1:3" hidden="1">
      <c r="A88" s="7" t="s">
        <v>93</v>
      </c>
      <c r="B88" s="7">
        <v>0.25</v>
      </c>
      <c r="C88" s="7" t="s">
        <v>96</v>
      </c>
    </row>
    <row r="89" spans="1:3" hidden="1">
      <c r="A89" s="7" t="s">
        <v>94</v>
      </c>
      <c r="B89" s="7">
        <v>0.22</v>
      </c>
      <c r="C89" s="7" t="s">
        <v>96</v>
      </c>
    </row>
    <row r="90" spans="1:3" hidden="1">
      <c r="A90" s="7" t="s">
        <v>95</v>
      </c>
      <c r="B90" s="7">
        <v>0.2</v>
      </c>
      <c r="C90" s="7" t="s">
        <v>96</v>
      </c>
    </row>
    <row r="91" spans="1:3" ht="15" hidden="1" customHeight="1"/>
    <row r="92" spans="1:3" hidden="1">
      <c r="A92" s="13" t="s">
        <v>103</v>
      </c>
      <c r="B92" s="13">
        <f>VLOOKUP(A5,A93:B94,2,FALSE)</f>
        <v>181.5</v>
      </c>
    </row>
    <row r="93" spans="1:3" hidden="1">
      <c r="A93" s="12" t="s">
        <v>15</v>
      </c>
      <c r="B93" s="7">
        <f>B15</f>
        <v>176</v>
      </c>
    </row>
    <row r="94" spans="1:3" hidden="1">
      <c r="A94" s="7" t="s">
        <v>17</v>
      </c>
      <c r="B94" s="7">
        <f>B21</f>
        <v>181.5</v>
      </c>
    </row>
    <row r="95" spans="1:3" hidden="1"/>
    <row r="96" spans="1:3" hidden="1">
      <c r="A96" s="7" t="s">
        <v>26</v>
      </c>
      <c r="B96" s="7" t="s">
        <v>106</v>
      </c>
    </row>
    <row r="97" spans="1:3" hidden="1">
      <c r="A97" s="7" t="s">
        <v>27</v>
      </c>
      <c r="B97" s="7" t="s">
        <v>107</v>
      </c>
    </row>
    <row r="98" spans="1:3" hidden="1">
      <c r="A98" s="7" t="s">
        <v>28</v>
      </c>
      <c r="B98" s="7" t="s">
        <v>108</v>
      </c>
    </row>
    <row r="99" spans="1:3" hidden="1">
      <c r="A99" s="7" t="s">
        <v>29</v>
      </c>
      <c r="B99" s="7" t="s">
        <v>109</v>
      </c>
    </row>
    <row r="100" spans="1:3" hidden="1"/>
    <row r="101" spans="1:3" hidden="1">
      <c r="A101" s="13" t="s">
        <v>155</v>
      </c>
    </row>
    <row r="102" spans="1:3" customFormat="1" hidden="1">
      <c r="A102" s="32" t="s">
        <v>112</v>
      </c>
    </row>
    <row r="103" spans="1:3" customFormat="1" hidden="1">
      <c r="A103" t="str">
        <f>'Data entry'!A5</f>
        <v>NatHERS</v>
      </c>
    </row>
    <row r="104" spans="1:3" customFormat="1" hidden="1">
      <c r="A104" s="32" t="s">
        <v>113</v>
      </c>
      <c r="B104">
        <f>'Data entry'!N5</f>
        <v>82.306181494485614</v>
      </c>
      <c r="C104" s="9" t="s">
        <v>20</v>
      </c>
    </row>
    <row r="105" spans="1:3" customFormat="1" hidden="1">
      <c r="A105" s="32" t="s">
        <v>101</v>
      </c>
      <c r="B105">
        <f>'Data entry'!B92</f>
        <v>181.5</v>
      </c>
      <c r="C105" t="s">
        <v>16</v>
      </c>
    </row>
    <row r="106" spans="1:3" customFormat="1" hidden="1">
      <c r="A106" s="32" t="s">
        <v>149</v>
      </c>
      <c r="B106">
        <f>B104*B105</f>
        <v>14938.571941249138</v>
      </c>
      <c r="C106" t="s">
        <v>47</v>
      </c>
    </row>
    <row r="107" spans="1:3" customFormat="1" hidden="1">
      <c r="A107" s="32" t="s">
        <v>150</v>
      </c>
      <c r="B107">
        <f>'Data entry'!O8*B105</f>
        <v>22407.857911873711</v>
      </c>
      <c r="C107" t="s">
        <v>47</v>
      </c>
    </row>
    <row r="108" spans="1:3" hidden="1"/>
  </sheetData>
  <sheetProtection algorithmName="SHA-512" hashValue="ADU0joznZHCgKY7AtEJ5fb3fDWyVz8o27L04DCoxs9TDQNE23NifAT8MvCKHX3hr2bWfTtA62pAEawytmcta3Q==" saltValue="vw2or/9XqdnmWdNAvZ/JMA==" spinCount="100000" sheet="1" objects="1" scenarios="1"/>
  <mergeCells count="7">
    <mergeCell ref="O50:P51"/>
    <mergeCell ref="A1:E1"/>
    <mergeCell ref="B44:B45"/>
    <mergeCell ref="C44:C45"/>
    <mergeCell ref="A44:A45"/>
    <mergeCell ref="K50:N51"/>
    <mergeCell ref="B3:E3"/>
  </mergeCells>
  <dataValidations count="3">
    <dataValidation type="list" allowBlank="1" showInputMessage="1" showErrorMessage="1" sqref="A5" xr:uid="{FAE3CDC9-24FA-7C43-A7D0-ACBC95831C4B}">
      <formula1>$A$80:$A$81</formula1>
    </dataValidation>
    <dataValidation type="list" allowBlank="1" showInputMessage="1" showErrorMessage="1" sqref="B35" xr:uid="{50558E61-35ED-B641-9863-9D8209A1465E}">
      <formula1>$A$59:$A$62</formula1>
    </dataValidation>
    <dataValidation type="list" allowBlank="1" showInputMessage="1" showErrorMessage="1" sqref="B30" xr:uid="{CA1F4AC3-08BB-E645-9251-C97DC7F8D761}">
      <formula1>$A$88:$A$90</formula1>
    </dataValidation>
  </dataValidations>
  <hyperlinks>
    <hyperlink ref="L62" r:id="rId1" display="https://www.rheem.com.au/help/running-cost-calculator" xr:uid="{99129D41-F940-914D-9625-99FA8B3C7F1E}"/>
    <hyperlink ref="L59" r:id="rId2" display="https://www.rheem.com.au/help/running-cost-calculator" xr:uid="{00D54F0E-DD9B-6D43-BA7E-859421214ACF}"/>
    <hyperlink ref="L60" r:id="rId3" xr:uid="{387E65EC-41C9-074E-9FBF-3D4E30B581D0}"/>
    <hyperlink ref="L61" r:id="rId4" xr:uid="{5E6DEDDB-E40A-3845-A859-098094CFB181}"/>
    <hyperlink ref="E22" r:id="rId5" xr:uid="{A1DF1542-2EF3-CC4C-B404-3F864A752329}"/>
    <hyperlink ref="G27" r:id="rId6" xr:uid="{5837234C-D0D6-CE4C-A855-1824E3849747}"/>
    <hyperlink ref="G26" r:id="rId7" xr:uid="{CE61CF4F-9FBD-594E-BC7E-3EB132518453}"/>
    <hyperlink ref="I26" r:id="rId8" xr:uid="{22140F95-362B-B040-8E12-6BD1B04D225B}"/>
    <hyperlink ref="G25" r:id="rId9" xr:uid="{8F36AF22-9B37-4D46-890E-878685211B96}"/>
    <hyperlink ref="I25" r:id="rId10" xr:uid="{1BC3F36B-8E62-0941-92AC-044605E50106}"/>
    <hyperlink ref="A2" r:id="rId11" xr:uid="{C492E3CE-4517-CE45-A08C-C49E87A1DBC6}"/>
  </hyperlinks>
  <pageMargins left="0.7" right="0.7" top="0.75" bottom="0.75" header="0.3" footer="0.3"/>
  <ignoredErrors>
    <ignoredError sqref="B32" unlockedFormula="1"/>
  </ignoredErrors>
  <drawing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640A6D02-29D4-5340-8CCA-B6906F5766D3}">
          <x14:formula1>
            <xm:f>'Behind the scenes'!$A$5:$A$73</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E83C3-66DA-B945-AD41-459BF94E1C23}">
  <dimension ref="A1:F13"/>
  <sheetViews>
    <sheetView workbookViewId="0">
      <selection activeCell="E4" sqref="E4"/>
    </sheetView>
  </sheetViews>
  <sheetFormatPr baseColWidth="10" defaultRowHeight="16"/>
  <cols>
    <col min="1" max="1" width="22.5" style="13" customWidth="1"/>
    <col min="2" max="2" width="30.83203125" style="7" customWidth="1"/>
    <col min="3" max="3" width="38.33203125" style="7" customWidth="1"/>
    <col min="4" max="4" width="10.83203125" style="7"/>
    <col min="5" max="5" width="19.1640625" style="7" customWidth="1"/>
    <col min="6" max="6" width="65.33203125" style="7" customWidth="1"/>
    <col min="7" max="16384" width="10.83203125" style="7"/>
  </cols>
  <sheetData>
    <row r="1" spans="1:6">
      <c r="A1" s="13" t="s">
        <v>156</v>
      </c>
    </row>
    <row r="2" spans="1:6" s="36" customFormat="1" ht="17">
      <c r="B2" s="36" t="s">
        <v>157</v>
      </c>
      <c r="C2" s="36" t="s">
        <v>17</v>
      </c>
    </row>
    <row r="3" spans="1:6" s="40" customFormat="1" ht="85">
      <c r="A3" s="40" t="s">
        <v>182</v>
      </c>
      <c r="B3" s="39" t="s">
        <v>185</v>
      </c>
      <c r="C3" s="39" t="s">
        <v>185</v>
      </c>
      <c r="E3" s="40" t="s">
        <v>188</v>
      </c>
      <c r="F3" s="43" t="s">
        <v>189</v>
      </c>
    </row>
    <row r="4" spans="1:6" s="23" customFormat="1" ht="68">
      <c r="A4" s="36" t="s">
        <v>186</v>
      </c>
      <c r="B4" s="23" t="s">
        <v>160</v>
      </c>
      <c r="C4" s="23" t="s">
        <v>159</v>
      </c>
      <c r="F4" s="42"/>
    </row>
    <row r="5" spans="1:6" s="23" customFormat="1" ht="51">
      <c r="A5" s="36" t="s">
        <v>158</v>
      </c>
      <c r="B5" s="23" t="s">
        <v>161</v>
      </c>
      <c r="C5" s="23" t="s">
        <v>162</v>
      </c>
      <c r="F5" s="42"/>
    </row>
    <row r="6" spans="1:6" s="23" customFormat="1" ht="34">
      <c r="A6" s="36" t="s">
        <v>165</v>
      </c>
      <c r="B6" s="23" t="s">
        <v>163</v>
      </c>
      <c r="C6" s="23" t="s">
        <v>164</v>
      </c>
    </row>
    <row r="7" spans="1:6" s="23" customFormat="1" ht="34">
      <c r="A7" s="36" t="s">
        <v>166</v>
      </c>
      <c r="B7" s="23" t="s">
        <v>168</v>
      </c>
      <c r="C7" s="23" t="s">
        <v>167</v>
      </c>
    </row>
    <row r="8" spans="1:6" s="23" customFormat="1" ht="51">
      <c r="A8" s="36" t="s">
        <v>169</v>
      </c>
      <c r="B8" s="23" t="s">
        <v>170</v>
      </c>
      <c r="C8" s="23" t="s">
        <v>171</v>
      </c>
    </row>
    <row r="9" spans="1:6" s="23" customFormat="1" ht="34">
      <c r="A9" s="36" t="s">
        <v>172</v>
      </c>
      <c r="B9" s="23" t="s">
        <v>173</v>
      </c>
      <c r="C9" s="23" t="s">
        <v>174</v>
      </c>
    </row>
    <row r="10" spans="1:6" s="23" customFormat="1" ht="68">
      <c r="A10" s="36" t="s">
        <v>175</v>
      </c>
      <c r="B10" s="23" t="s">
        <v>176</v>
      </c>
      <c r="C10" s="23" t="s">
        <v>180</v>
      </c>
    </row>
    <row r="11" spans="1:6" s="23" customFormat="1" ht="51">
      <c r="A11" s="36" t="s">
        <v>177</v>
      </c>
      <c r="B11" s="23" t="s">
        <v>178</v>
      </c>
      <c r="C11" s="23" t="s">
        <v>179</v>
      </c>
    </row>
    <row r="12" spans="1:6" s="39" customFormat="1" ht="85">
      <c r="A12" s="40" t="s">
        <v>181</v>
      </c>
      <c r="B12" s="39" t="s">
        <v>183</v>
      </c>
      <c r="C12" s="39" t="s">
        <v>184</v>
      </c>
    </row>
    <row r="13" spans="1:6" s="23" customFormat="1">
      <c r="A13" s="36"/>
    </row>
  </sheetData>
  <hyperlinks>
    <hyperlink ref="F3" r:id="rId1" display="http://www.carbonbuzz.org/index.jsp" xr:uid="{5D6CCB2C-8D1C-A346-9F28-380921BAB4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F7B5-09D6-7F40-B24C-80C54790AEA7}">
  <dimension ref="A1:J73"/>
  <sheetViews>
    <sheetView workbookViewId="0">
      <selection sqref="A1:XFD1048576"/>
    </sheetView>
  </sheetViews>
  <sheetFormatPr baseColWidth="10" defaultRowHeight="16"/>
  <cols>
    <col min="10" max="10" width="10.83203125" style="6"/>
  </cols>
  <sheetData>
    <row r="1" spans="1:10">
      <c r="A1" s="1"/>
      <c r="B1" s="1"/>
      <c r="C1" s="1"/>
      <c r="D1" s="1"/>
      <c r="E1" s="1"/>
      <c r="F1" s="1"/>
      <c r="G1" s="1"/>
      <c r="H1" s="1"/>
      <c r="I1" s="1"/>
      <c r="J1" s="3"/>
    </row>
    <row r="2" spans="1:10">
      <c r="A2" s="1"/>
      <c r="B2" s="1"/>
      <c r="C2" s="1"/>
      <c r="D2" s="1"/>
      <c r="E2" s="1"/>
      <c r="F2" s="1"/>
      <c r="G2" s="1"/>
      <c r="H2" s="1"/>
      <c r="I2" s="1"/>
      <c r="J2" s="3"/>
    </row>
    <row r="3" spans="1:10">
      <c r="A3" s="1" t="s">
        <v>48</v>
      </c>
      <c r="B3" s="1"/>
      <c r="C3" s="1" t="s">
        <v>49</v>
      </c>
      <c r="D3" s="1"/>
      <c r="E3" s="1"/>
      <c r="F3" s="1"/>
      <c r="G3" s="1"/>
      <c r="H3" s="1"/>
      <c r="I3" s="1"/>
      <c r="J3" s="3"/>
    </row>
    <row r="4" spans="1:10">
      <c r="A4" s="1"/>
      <c r="B4" s="1"/>
      <c r="C4" s="1" t="s">
        <v>50</v>
      </c>
      <c r="D4" s="1" t="s">
        <v>51</v>
      </c>
      <c r="E4" s="1" t="s">
        <v>52</v>
      </c>
      <c r="F4" s="1" t="s">
        <v>53</v>
      </c>
      <c r="G4" s="1" t="s">
        <v>54</v>
      </c>
      <c r="H4" s="1" t="s">
        <v>55</v>
      </c>
      <c r="I4" s="1"/>
      <c r="J4" s="4">
        <f>'Data entry'!B20</f>
        <v>162.30000000000001</v>
      </c>
    </row>
    <row r="5" spans="1:10">
      <c r="A5" s="1">
        <v>1</v>
      </c>
      <c r="B5" s="1"/>
      <c r="C5" s="2">
        <v>-1.1879868800000001E-14</v>
      </c>
      <c r="D5" s="2">
        <v>3.3029586713199998E-11</v>
      </c>
      <c r="E5" s="2">
        <v>-3.4361496778747499E-8</v>
      </c>
      <c r="F5" s="2">
        <v>1.6802126526623999E-5</v>
      </c>
      <c r="G5" s="2">
        <v>-4.41898846435181E-3</v>
      </c>
      <c r="H5" s="2">
        <v>0.41920055071102202</v>
      </c>
      <c r="I5" s="1"/>
      <c r="J5" s="5">
        <f t="shared" ref="J5:J14" si="0">$H5+$G5*J$4+$F5*J$4^2+$E5*J$4^3+$D5*J$4^4+$C5*J$4^5</f>
        <v>1.9266622394543225E-2</v>
      </c>
    </row>
    <row r="6" spans="1:10">
      <c r="A6" s="1">
        <v>2</v>
      </c>
      <c r="B6" s="1"/>
      <c r="C6" s="2">
        <v>-9.7531623999999997E-15</v>
      </c>
      <c r="D6" s="2">
        <v>2.7179675370099999E-11</v>
      </c>
      <c r="E6" s="2">
        <v>-2.8630989366726001E-8</v>
      </c>
      <c r="F6" s="2">
        <v>1.45181470800154E-5</v>
      </c>
      <c r="G6" s="2">
        <v>-4.15259368030769E-3</v>
      </c>
      <c r="H6" s="2">
        <v>0.42091301568267597</v>
      </c>
      <c r="I6" s="1"/>
      <c r="J6" s="5">
        <f t="shared" si="0"/>
        <v>2.47314684050245E-2</v>
      </c>
    </row>
    <row r="7" spans="1:10">
      <c r="A7" s="1">
        <v>3</v>
      </c>
      <c r="B7" s="1"/>
      <c r="C7" s="2">
        <v>-7.5373181000000003E-15</v>
      </c>
      <c r="D7" s="2">
        <v>2.08748515308E-11</v>
      </c>
      <c r="E7" s="2">
        <v>-2.21334991965284E-8</v>
      </c>
      <c r="F7" s="2">
        <v>1.1666839514428E-5</v>
      </c>
      <c r="G7" s="2">
        <v>-3.7967617482547599E-3</v>
      </c>
      <c r="H7" s="2">
        <v>0.418989960439829</v>
      </c>
      <c r="I7" s="1"/>
      <c r="J7" s="5">
        <f t="shared" si="0"/>
        <v>2.9105677858893706E-2</v>
      </c>
    </row>
    <row r="8" spans="1:10">
      <c r="A8" s="1">
        <v>4</v>
      </c>
      <c r="B8" s="1"/>
      <c r="C8" s="2">
        <v>-6.8880981000000004E-15</v>
      </c>
      <c r="D8" s="2">
        <v>2.0539344749999999E-11</v>
      </c>
      <c r="E8" s="2">
        <v>-2.43599628481823E-8</v>
      </c>
      <c r="F8" s="2">
        <v>1.49526703320421E-5</v>
      </c>
      <c r="G8" s="2">
        <v>-5.0097127830395797E-3</v>
      </c>
      <c r="H8" s="2">
        <v>0.56195100754968497</v>
      </c>
      <c r="I8" s="1"/>
      <c r="J8" s="5">
        <f t="shared" si="0"/>
        <v>5.2079551666623689E-2</v>
      </c>
    </row>
    <row r="9" spans="1:10">
      <c r="A9" s="1">
        <v>5</v>
      </c>
      <c r="B9" s="1"/>
      <c r="C9" s="2">
        <v>-1.56095593E-14</v>
      </c>
      <c r="D9" s="2">
        <v>4.2771353038500001E-11</v>
      </c>
      <c r="E9" s="2">
        <v>-4.34705996896022E-8</v>
      </c>
      <c r="F9" s="2">
        <v>2.0485271378788098E-5</v>
      </c>
      <c r="G9" s="2">
        <v>-5.1024417800459299E-3</v>
      </c>
      <c r="H9" s="2">
        <v>0.47016775046185</v>
      </c>
      <c r="I9" s="1"/>
      <c r="J9" s="5">
        <f t="shared" si="0"/>
        <v>2.3724418624220398E-2</v>
      </c>
    </row>
    <row r="10" spans="1:10">
      <c r="A10" s="1">
        <v>6</v>
      </c>
      <c r="B10" s="1"/>
      <c r="C10" s="2">
        <v>-3.6925356999999998E-15</v>
      </c>
      <c r="D10" s="2">
        <v>1.05874377531E-11</v>
      </c>
      <c r="E10" s="2">
        <v>-1.2361680494399401E-8</v>
      </c>
      <c r="F10" s="2">
        <v>7.86214295069914E-6</v>
      </c>
      <c r="G10" s="2">
        <v>-3.3260694490848501E-3</v>
      </c>
      <c r="H10" s="2">
        <v>0.41749346117158098</v>
      </c>
      <c r="I10" s="1"/>
      <c r="J10" s="5">
        <f t="shared" si="0"/>
        <v>3.8853233157642802E-2</v>
      </c>
    </row>
    <row r="11" spans="1:10">
      <c r="A11" s="1">
        <v>7</v>
      </c>
      <c r="B11" s="1"/>
      <c r="C11" s="2">
        <v>-1.11459534E-14</v>
      </c>
      <c r="D11" s="2">
        <v>3.0909011214900002E-11</v>
      </c>
      <c r="E11" s="2">
        <v>-3.2424679297170598E-8</v>
      </c>
      <c r="F11" s="2">
        <v>1.64612852907579E-5</v>
      </c>
      <c r="G11" s="2">
        <v>-4.7073713092127597E-3</v>
      </c>
      <c r="H11" s="2">
        <v>0.47572537438157902</v>
      </c>
      <c r="I11" s="1"/>
      <c r="J11" s="5">
        <f t="shared" si="0"/>
        <v>2.6900237010526545E-2</v>
      </c>
    </row>
    <row r="12" spans="1:10">
      <c r="A12" s="1">
        <v>8</v>
      </c>
      <c r="B12" s="1"/>
      <c r="C12" s="2">
        <v>-6.1467499999999997E-17</v>
      </c>
      <c r="D12" s="2">
        <v>8.0364398620000002E-13</v>
      </c>
      <c r="E12" s="2">
        <v>-3.0370496019674001E-9</v>
      </c>
      <c r="F12" s="2">
        <v>4.2947896960781403E-6</v>
      </c>
      <c r="G12" s="2">
        <v>-2.88091926019058E-3</v>
      </c>
      <c r="H12" s="2">
        <v>0.41053942602882798</v>
      </c>
      <c r="I12" s="1"/>
      <c r="J12" s="5">
        <f t="shared" si="0"/>
        <v>4.3663259905682823E-2</v>
      </c>
    </row>
    <row r="13" spans="1:10">
      <c r="A13" s="1">
        <v>9</v>
      </c>
      <c r="B13" s="1"/>
      <c r="C13" s="2">
        <v>-3.8538332E-15</v>
      </c>
      <c r="D13" s="2">
        <v>1.10456264077E-11</v>
      </c>
      <c r="E13" s="2">
        <v>-1.2848831148211299E-8</v>
      </c>
      <c r="F13" s="2">
        <v>8.1109408596387101E-6</v>
      </c>
      <c r="G13" s="2">
        <v>-3.3260971470133599E-3</v>
      </c>
      <c r="H13" s="2">
        <v>0.4117518910065</v>
      </c>
      <c r="I13" s="1"/>
      <c r="J13" s="5">
        <f t="shared" si="0"/>
        <v>3.7877919264808574E-2</v>
      </c>
    </row>
    <row r="14" spans="1:10">
      <c r="A14" s="1">
        <v>10</v>
      </c>
      <c r="B14" s="1"/>
      <c r="C14" s="2">
        <v>-3.4015811000000001E-15</v>
      </c>
      <c r="D14" s="2">
        <v>1.06867447805E-11</v>
      </c>
      <c r="E14" s="2">
        <v>-1.3936255205062E-8</v>
      </c>
      <c r="F14" s="2">
        <v>9.7485693602966097E-6</v>
      </c>
      <c r="G14" s="2">
        <v>-4.1062638541003596E-3</v>
      </c>
      <c r="H14" s="2">
        <v>0.51038435953293004</v>
      </c>
      <c r="I14" s="1"/>
      <c r="J14" s="5">
        <f t="shared" si="0"/>
        <v>4.8179547599073613E-2</v>
      </c>
    </row>
    <row r="15" spans="1:10">
      <c r="A15" s="1">
        <v>11</v>
      </c>
      <c r="B15" s="1"/>
      <c r="C15" s="2">
        <v>-6.7617189999999995E-16</v>
      </c>
      <c r="D15" s="2">
        <v>3.0209375152999999E-12</v>
      </c>
      <c r="E15" s="2">
        <v>-6.1065402787956001E-9</v>
      </c>
      <c r="F15" s="2">
        <v>6.3332891865951901E-6</v>
      </c>
      <c r="G15" s="2">
        <v>-3.3818148541556801E-3</v>
      </c>
      <c r="H15" s="2">
        <v>0.45589145723822</v>
      </c>
      <c r="I15" s="1"/>
      <c r="J15" s="5">
        <f>$H15+$G15*J$4+$F15*J$4^2+$E15*J$4^3+$D15*J$4^4+$C15*J$4^5</f>
        <v>4.9763257240104282E-2</v>
      </c>
    </row>
    <row r="16" spans="1:10">
      <c r="A16" s="1">
        <v>12</v>
      </c>
      <c r="B16" s="1"/>
      <c r="C16" s="2">
        <v>5.6741300000000004E-16</v>
      </c>
      <c r="D16" s="2">
        <v>-1.1713551230000001E-13</v>
      </c>
      <c r="E16" s="2">
        <v>-3.3567543973864999E-9</v>
      </c>
      <c r="F16" s="2">
        <v>5.36749504067803E-6</v>
      </c>
      <c r="G16" s="2">
        <v>-3.27397361927437E-3</v>
      </c>
      <c r="H16" s="2">
        <v>0.45259750435863699</v>
      </c>
      <c r="I16" s="1"/>
      <c r="J16" s="5">
        <f>$H16+$G16*J$4+$F16*J$4^2+$E16*J$4^3+$D16*J$4^4+$C16*J$4^5</f>
        <v>4.8250184585320793E-2</v>
      </c>
    </row>
    <row r="17" spans="1:10">
      <c r="A17" s="1">
        <v>13</v>
      </c>
      <c r="B17" s="1"/>
      <c r="C17" s="2">
        <v>3.6041469999999998E-15</v>
      </c>
      <c r="D17" s="2">
        <v>-8.6784161378999999E-12</v>
      </c>
      <c r="E17" s="2">
        <v>5.5009025077218E-9</v>
      </c>
      <c r="F17" s="2">
        <v>1.2996025982092799E-6</v>
      </c>
      <c r="G17" s="2">
        <v>-2.5368238699679498E-3</v>
      </c>
      <c r="H17" s="2">
        <v>0.410013852324076</v>
      </c>
      <c r="I17" s="1"/>
      <c r="J17" s="5">
        <f t="shared" ref="J17:J22" si="1">$H17+$G17*J$4+$F17*J$4^2+$E17*J$4^3+$D17*J$4^4+$C17*J$4^5</f>
        <v>5.0422198968097499E-2</v>
      </c>
    </row>
    <row r="18" spans="1:10">
      <c r="A18" s="1">
        <v>14</v>
      </c>
      <c r="B18" s="1"/>
      <c r="C18" s="2">
        <v>9.2497339000000006E-15</v>
      </c>
      <c r="D18" s="2">
        <v>-2.3178331810299999E-11</v>
      </c>
      <c r="E18" s="2">
        <v>1.8562092588172499E-8</v>
      </c>
      <c r="F18" s="2">
        <v>-3.47324009241643E-6</v>
      </c>
      <c r="G18" s="2">
        <v>-1.7821305328987399E-3</v>
      </c>
      <c r="H18" s="2">
        <v>0.37034460496847599</v>
      </c>
      <c r="I18" s="1"/>
      <c r="J18" s="5">
        <f>$H18+$G18*J$4+$F18*J$4^2+$E18*J$4^3+$D18*J$4^4+$C18*J$4^5</f>
        <v>5.3930743200758038E-2</v>
      </c>
    </row>
    <row r="19" spans="1:10">
      <c r="A19" s="1">
        <v>15</v>
      </c>
      <c r="B19" s="1"/>
      <c r="C19" s="2">
        <v>7.0175930999999999E-15</v>
      </c>
      <c r="D19" s="2">
        <v>-1.77086584202E-11</v>
      </c>
      <c r="E19" s="2">
        <v>1.38519961176404E-8</v>
      </c>
      <c r="F19" s="2">
        <v>-1.6915707892967E-6</v>
      </c>
      <c r="G19" s="2">
        <v>-2.1848665095049202E-3</v>
      </c>
      <c r="H19" s="2">
        <v>0.40745080996298999</v>
      </c>
      <c r="I19" s="1"/>
      <c r="J19" s="5">
        <f>$H19+$G19*J$4+$F19*J$4^2+$E19*J$4^3+$D19*J$4^4+$C19*J$4^5</f>
        <v>5.6011639837220351E-2</v>
      </c>
    </row>
    <row r="20" spans="1:10">
      <c r="A20" s="1">
        <v>16</v>
      </c>
      <c r="B20" s="1"/>
      <c r="C20" s="2">
        <v>6.3291736000000004E-15</v>
      </c>
      <c r="D20" s="2">
        <v>-1.56252296468E-11</v>
      </c>
      <c r="E20" s="2">
        <v>1.16555203184966E-8</v>
      </c>
      <c r="F20" s="2">
        <v>-8.5018382616414304E-7</v>
      </c>
      <c r="G20" s="2">
        <v>-2.2557401014824999E-3</v>
      </c>
      <c r="H20" s="2">
        <v>0.40028838355934598</v>
      </c>
      <c r="I20" s="1"/>
      <c r="J20" s="5">
        <f t="shared" si="1"/>
        <v>5.1487382670884721E-2</v>
      </c>
    </row>
    <row r="21" spans="1:10">
      <c r="A21" s="1">
        <v>17</v>
      </c>
      <c r="B21" s="1"/>
      <c r="C21" s="2">
        <v>4.5447886999999997E-15</v>
      </c>
      <c r="D21" s="2">
        <v>-1.1235251945200001E-11</v>
      </c>
      <c r="E21" s="2">
        <v>7.9620588987886E-9</v>
      </c>
      <c r="F21" s="2">
        <v>3.5605591618034701E-7</v>
      </c>
      <c r="G21" s="2">
        <v>-2.3892081182108199E-3</v>
      </c>
      <c r="H21" s="2">
        <v>0.40486059937251001</v>
      </c>
      <c r="I21" s="1"/>
      <c r="J21" s="5">
        <f>$H21+$G21*J$4+$F21*J$4^2+$E21*J$4^3+$D21*J$4^4+$C21*J$4^5</f>
        <v>5.3226494586800004E-2</v>
      </c>
    </row>
    <row r="22" spans="1:10">
      <c r="A22" s="1">
        <v>18</v>
      </c>
      <c r="B22" s="1"/>
      <c r="C22" s="2">
        <v>7.8202187000000001E-15</v>
      </c>
      <c r="D22" s="2">
        <v>-1.9555034800800001E-11</v>
      </c>
      <c r="E22" s="2">
        <v>1.53084625816782E-8</v>
      </c>
      <c r="F22" s="2">
        <v>-2.21628261226788E-6</v>
      </c>
      <c r="G22" s="2">
        <v>-2.0236987168264502E-3</v>
      </c>
      <c r="H22" s="2">
        <v>0.386897393193878</v>
      </c>
      <c r="I22" s="1"/>
      <c r="J22" s="5">
        <f t="shared" si="1"/>
        <v>5.2830096015392555E-2</v>
      </c>
    </row>
    <row r="23" spans="1:10">
      <c r="A23" s="1">
        <v>19</v>
      </c>
      <c r="B23" s="1"/>
      <c r="C23" s="2">
        <v>-2.9683330000000001E-15</v>
      </c>
      <c r="D23" s="2">
        <v>8.8545068093000007E-12</v>
      </c>
      <c r="E23" s="2">
        <v>-1.1069911416043E-8</v>
      </c>
      <c r="F23" s="2">
        <v>7.6776959454661894E-6</v>
      </c>
      <c r="G23" s="2">
        <v>-3.39810406992387E-3</v>
      </c>
      <c r="H23" s="2">
        <v>0.43159576581746001</v>
      </c>
      <c r="I23" s="1"/>
      <c r="J23" s="5">
        <f>$H23+$G23*J$4+$F23*J$4^2+$E23*J$4^3+$D23*J$4^4+$C23*J$4^5</f>
        <v>4.0807444570018343E-2</v>
      </c>
    </row>
    <row r="24" spans="1:10">
      <c r="A24" s="1">
        <v>20</v>
      </c>
      <c r="B24" s="1"/>
      <c r="C24" s="2">
        <v>6.3909078999999999E-15</v>
      </c>
      <c r="D24" s="2">
        <v>-1.5655882565500002E-11</v>
      </c>
      <c r="E24" s="2">
        <v>1.15707872772803E-8</v>
      </c>
      <c r="F24" s="2">
        <v>-8.3313380577995496E-7</v>
      </c>
      <c r="G24" s="2">
        <v>-2.20568396559764E-3</v>
      </c>
      <c r="H24" s="2">
        <v>0.39295451864305497</v>
      </c>
      <c r="I24" s="1"/>
      <c r="J24" s="5">
        <f t="shared" ref="J24:J73" si="2">$H24+$G24*J$4+$F24*J$4^2+$E24*J$4^3+$D24*J$4^4+$C24*J$4^5</f>
        <v>5.2350181380478839E-2</v>
      </c>
    </row>
    <row r="25" spans="1:10">
      <c r="A25" s="1">
        <v>21</v>
      </c>
      <c r="B25" s="1"/>
      <c r="C25" s="2">
        <v>1.03147878E-14</v>
      </c>
      <c r="D25" s="2">
        <v>-2.5639386253699999E-11</v>
      </c>
      <c r="E25" s="2">
        <v>2.02945851784147E-8</v>
      </c>
      <c r="F25" s="2">
        <v>-3.6833000421146801E-6</v>
      </c>
      <c r="G25" s="2">
        <v>-1.9642190475253102E-3</v>
      </c>
      <c r="H25" s="2">
        <v>0.40399232477977898</v>
      </c>
      <c r="I25" s="1"/>
      <c r="J25" s="5">
        <f t="shared" si="2"/>
        <v>5.8311288445436198E-2</v>
      </c>
    </row>
    <row r="26" spans="1:10">
      <c r="A26" s="1">
        <v>22</v>
      </c>
      <c r="B26" s="1"/>
      <c r="C26" s="2">
        <v>1.0081972999999999E-14</v>
      </c>
      <c r="D26" s="2">
        <v>-2.5389711424300001E-11</v>
      </c>
      <c r="E26" s="2">
        <v>2.0664219760524601E-8</v>
      </c>
      <c r="F26" s="2">
        <v>-4.3187041125868697E-6</v>
      </c>
      <c r="G26" s="2">
        <v>-1.6241531568370799E-3</v>
      </c>
      <c r="H26" s="2">
        <v>0.35911621866344401</v>
      </c>
      <c r="I26" s="1"/>
      <c r="J26" s="5">
        <f t="shared" si="2"/>
        <v>5.3617794121547269E-2</v>
      </c>
    </row>
    <row r="27" spans="1:10">
      <c r="A27" s="1">
        <v>23</v>
      </c>
      <c r="B27" s="1"/>
      <c r="C27" s="2">
        <v>9.6148085E-15</v>
      </c>
      <c r="D27" s="2">
        <v>-2.38273709857E-11</v>
      </c>
      <c r="E27" s="2">
        <v>1.8756938557586199E-8</v>
      </c>
      <c r="F27" s="2">
        <v>-3.3163815910285098E-6</v>
      </c>
      <c r="G27" s="2">
        <v>-1.81442633451677E-3</v>
      </c>
      <c r="H27" s="2">
        <v>0.37104849885880298</v>
      </c>
      <c r="I27" s="1"/>
      <c r="J27" s="5">
        <f t="shared" si="2"/>
        <v>5.3948655468054142E-2</v>
      </c>
    </row>
    <row r="28" spans="1:10">
      <c r="A28" s="1">
        <v>24</v>
      </c>
      <c r="B28" s="1"/>
      <c r="C28" s="2">
        <v>7.0984660000000003E-15</v>
      </c>
      <c r="D28" s="2">
        <v>-1.73394692309E-11</v>
      </c>
      <c r="E28" s="2">
        <v>1.2883730284201399E-8</v>
      </c>
      <c r="F28" s="2">
        <v>-1.15868319067431E-6</v>
      </c>
      <c r="G28" s="2">
        <v>-2.14061620185907E-3</v>
      </c>
      <c r="H28" s="2">
        <v>0.38546003230836701</v>
      </c>
      <c r="I28" s="1"/>
      <c r="J28" s="5">
        <f t="shared" si="2"/>
        <v>5.136538650419465E-2</v>
      </c>
    </row>
    <row r="29" spans="1:10">
      <c r="A29" s="1">
        <v>25</v>
      </c>
      <c r="B29" s="1"/>
      <c r="C29" s="2">
        <v>4.9026474999999998E-15</v>
      </c>
      <c r="D29" s="2">
        <v>-1.1186516757399999E-11</v>
      </c>
      <c r="E29" s="2">
        <v>6.7660566683215004E-9</v>
      </c>
      <c r="F29" s="2">
        <v>1.2603615092797901E-6</v>
      </c>
      <c r="G29" s="2">
        <v>-2.3781502205073302E-3</v>
      </c>
      <c r="H29" s="2">
        <v>0.37700025780155899</v>
      </c>
      <c r="I29" s="1"/>
      <c r="J29" s="5">
        <f t="shared" si="2"/>
        <v>4.5942402780624399E-2</v>
      </c>
    </row>
    <row r="30" spans="1:10">
      <c r="A30" s="1">
        <v>26</v>
      </c>
      <c r="B30" s="1"/>
      <c r="C30" s="2">
        <v>1.1549893400000001E-14</v>
      </c>
      <c r="D30" s="2">
        <v>-2.8841785225500001E-11</v>
      </c>
      <c r="E30" s="2">
        <v>2.3305452170858501E-8</v>
      </c>
      <c r="F30" s="2">
        <v>-4.9618529365363398E-6</v>
      </c>
      <c r="G30" s="2">
        <v>-1.6014480513824999E-3</v>
      </c>
      <c r="H30" s="2">
        <v>0.36564063457747498</v>
      </c>
      <c r="I30" s="1"/>
      <c r="J30" s="5">
        <f t="shared" si="2"/>
        <v>5.5947693221329871E-2</v>
      </c>
    </row>
    <row r="31" spans="1:10">
      <c r="A31" s="1">
        <v>27</v>
      </c>
      <c r="B31" s="1"/>
      <c r="C31" s="2">
        <v>3.4318232E-15</v>
      </c>
      <c r="D31" s="2">
        <v>-7.9355645850999997E-12</v>
      </c>
      <c r="E31" s="2">
        <v>4.4453334789667002E-9</v>
      </c>
      <c r="F31" s="2">
        <v>1.88284884126268E-6</v>
      </c>
      <c r="G31" s="2">
        <v>-2.6438955839403898E-3</v>
      </c>
      <c r="H31" s="2">
        <v>0.41623852637061498</v>
      </c>
      <c r="I31" s="1"/>
      <c r="J31" s="5">
        <f t="shared" si="2"/>
        <v>5.0615864207721691E-2</v>
      </c>
    </row>
    <row r="32" spans="1:10">
      <c r="A32" s="1">
        <v>28</v>
      </c>
      <c r="B32" s="1"/>
      <c r="C32" s="2">
        <v>4.3408859000000002E-15</v>
      </c>
      <c r="D32" s="2">
        <v>-1.09921598702E-11</v>
      </c>
      <c r="E32" s="2">
        <v>8.1650050238027994E-9</v>
      </c>
      <c r="F32" s="2">
        <v>-2.0309738206851101E-8</v>
      </c>
      <c r="G32" s="2">
        <v>-2.2365279378899999E-3</v>
      </c>
      <c r="H32" s="2">
        <v>0.38307035349869401</v>
      </c>
      <c r="I32" s="1"/>
      <c r="J32" s="5">
        <f t="shared" si="2"/>
        <v>4.7315629063461179E-2</v>
      </c>
    </row>
    <row r="33" spans="1:10">
      <c r="A33" s="1">
        <v>29</v>
      </c>
      <c r="B33" s="1"/>
      <c r="C33" s="2">
        <v>-1.24512953E-14</v>
      </c>
      <c r="D33" s="2">
        <v>3.4696636910400001E-11</v>
      </c>
      <c r="E33" s="2">
        <v>-3.62281416985667E-8</v>
      </c>
      <c r="F33" s="2">
        <v>1.7824107523291802E-5</v>
      </c>
      <c r="G33" s="2">
        <v>-4.6821366875663397E-3</v>
      </c>
      <c r="H33" s="2">
        <v>0.44148879780656097</v>
      </c>
      <c r="I33" s="1"/>
      <c r="J33" s="5">
        <f t="shared" si="2"/>
        <v>1.8878301150604081E-2</v>
      </c>
    </row>
    <row r="34" spans="1:10">
      <c r="A34" s="1">
        <v>30</v>
      </c>
      <c r="B34" s="1"/>
      <c r="C34" s="2">
        <v>-8.8699273999999998E-15</v>
      </c>
      <c r="D34" s="2">
        <v>2.46690467281E-11</v>
      </c>
      <c r="E34" s="2">
        <v>-2.5959813089498099E-8</v>
      </c>
      <c r="F34" s="2">
        <v>1.3195324128372799E-5</v>
      </c>
      <c r="G34" s="2">
        <v>-3.8150466380366E-3</v>
      </c>
      <c r="H34" s="2">
        <v>0.38740783587875699</v>
      </c>
      <c r="I34" s="1"/>
      <c r="J34" s="5">
        <f t="shared" si="2"/>
        <v>2.0942531284846438E-2</v>
      </c>
    </row>
    <row r="35" spans="1:10">
      <c r="A35" s="1">
        <v>31</v>
      </c>
      <c r="B35" s="1"/>
      <c r="C35" s="2">
        <v>-1.46783904E-14</v>
      </c>
      <c r="D35" s="2">
        <v>4.0422336619199999E-11</v>
      </c>
      <c r="E35" s="2">
        <v>-4.13785918149887E-8</v>
      </c>
      <c r="F35" s="2">
        <v>1.9691853327426202E-5</v>
      </c>
      <c r="G35" s="2">
        <v>-4.9034563372504399E-3</v>
      </c>
      <c r="H35" s="2">
        <v>0.44626562338189801</v>
      </c>
      <c r="I35" s="1"/>
      <c r="J35" s="5">
        <f t="shared" si="2"/>
        <v>1.8636673746816743E-2</v>
      </c>
    </row>
    <row r="36" spans="1:10">
      <c r="A36" s="1">
        <v>32</v>
      </c>
      <c r="B36" s="1"/>
      <c r="C36" s="2">
        <v>-1.7940504200000001E-14</v>
      </c>
      <c r="D36" s="2">
        <v>4.9678178647E-11</v>
      </c>
      <c r="E36" s="2">
        <v>-5.1107752204665299E-8</v>
      </c>
      <c r="F36" s="2">
        <v>2.4328939838357199E-5</v>
      </c>
      <c r="G36" s="2">
        <v>-5.9614172303720098E-3</v>
      </c>
      <c r="H36" s="2">
        <v>0.53940549560113005</v>
      </c>
      <c r="I36" s="1"/>
      <c r="J36" s="5">
        <f t="shared" si="2"/>
        <v>2.6677242670670481E-2</v>
      </c>
    </row>
    <row r="37" spans="1:10">
      <c r="A37" s="1">
        <v>33</v>
      </c>
      <c r="B37" s="1"/>
      <c r="C37" s="2">
        <v>-1.16203893E-14</v>
      </c>
      <c r="D37" s="2">
        <v>3.2504457623599998E-11</v>
      </c>
      <c r="E37" s="2">
        <v>-3.4149577950016999E-8</v>
      </c>
      <c r="F37" s="2">
        <v>1.69698912234758E-5</v>
      </c>
      <c r="G37" s="2">
        <v>-4.5164074723858302E-3</v>
      </c>
      <c r="H37" s="2">
        <v>0.42913312601876702</v>
      </c>
      <c r="I37" s="1"/>
      <c r="J37" s="5">
        <f t="shared" si="2"/>
        <v>1.8378077876863564E-2</v>
      </c>
    </row>
    <row r="38" spans="1:10">
      <c r="A38" s="1">
        <v>34</v>
      </c>
      <c r="B38" s="1"/>
      <c r="C38" s="2">
        <v>-8.8877795999999995E-15</v>
      </c>
      <c r="D38" s="2">
        <v>2.4690699650599999E-11</v>
      </c>
      <c r="E38" s="2">
        <v>-2.6030103301105699E-8</v>
      </c>
      <c r="F38" s="2">
        <v>1.3351280488267899E-5</v>
      </c>
      <c r="G38" s="2">
        <v>-4.0503359346248501E-3</v>
      </c>
      <c r="H38" s="2">
        <v>0.43254014881783398</v>
      </c>
      <c r="I38" s="1"/>
      <c r="J38" s="5">
        <f t="shared" si="2"/>
        <v>3.1707992750364421E-2</v>
      </c>
    </row>
    <row r="39" spans="1:10">
      <c r="A39" s="1">
        <v>35</v>
      </c>
      <c r="B39" s="1"/>
      <c r="C39" s="2">
        <v>-1.74882838E-14</v>
      </c>
      <c r="D39" s="2">
        <v>4.86304852391E-11</v>
      </c>
      <c r="E39" s="2">
        <v>-5.0294081866004602E-8</v>
      </c>
      <c r="F39" s="2">
        <v>2.4072869078500601E-5</v>
      </c>
      <c r="G39" s="2">
        <v>-5.8907406469458599E-3</v>
      </c>
      <c r="H39" s="2">
        <v>0.52580459347355402</v>
      </c>
      <c r="I39" s="1"/>
      <c r="J39" s="5">
        <f t="shared" si="2"/>
        <v>2.0604482391348447E-2</v>
      </c>
    </row>
    <row r="40" spans="1:10">
      <c r="A40" s="1">
        <v>36</v>
      </c>
      <c r="B40" s="1"/>
      <c r="C40" s="2">
        <v>-1.0652410200000001E-14</v>
      </c>
      <c r="D40" s="2">
        <v>2.9613776448999999E-11</v>
      </c>
      <c r="E40" s="2">
        <v>-3.12838414108714E-8</v>
      </c>
      <c r="F40" s="2">
        <v>1.6145095965200801E-5</v>
      </c>
      <c r="G40" s="2">
        <v>-4.7462037794420396E-3</v>
      </c>
      <c r="H40" s="2">
        <v>0.49394005138435698</v>
      </c>
      <c r="I40" s="1"/>
      <c r="J40" s="5">
        <f t="shared" si="2"/>
        <v>3.4517733355477032E-2</v>
      </c>
    </row>
    <row r="41" spans="1:10">
      <c r="A41" s="1">
        <v>37</v>
      </c>
      <c r="B41" s="1"/>
      <c r="C41" s="2">
        <v>-9.1724036999999998E-15</v>
      </c>
      <c r="D41" s="2">
        <v>2.54993202857E-11</v>
      </c>
      <c r="E41" s="2">
        <v>-2.6779329220737501E-8</v>
      </c>
      <c r="F41" s="2">
        <v>1.3531761026730999E-5</v>
      </c>
      <c r="G41" s="2">
        <v>-3.9106253597613397E-3</v>
      </c>
      <c r="H41" s="2">
        <v>0.39887644002517197</v>
      </c>
      <c r="I41" s="1"/>
      <c r="J41" s="5">
        <f t="shared" si="2"/>
        <v>2.2799335994938181E-2</v>
      </c>
    </row>
    <row r="42" spans="1:10">
      <c r="A42" s="1">
        <v>38</v>
      </c>
      <c r="B42" s="1"/>
      <c r="C42" s="2">
        <v>-1.01885809E-14</v>
      </c>
      <c r="D42" s="2">
        <v>2.8111030192299999E-11</v>
      </c>
      <c r="E42" s="2">
        <v>-2.9160535094192201E-8</v>
      </c>
      <c r="F42" s="2">
        <v>1.4444017089317701E-5</v>
      </c>
      <c r="G42" s="2">
        <v>-4.1543932951157696E-3</v>
      </c>
      <c r="H42" s="2">
        <v>0.42381587134305898</v>
      </c>
      <c r="I42" s="1"/>
      <c r="J42" s="5">
        <f t="shared" si="2"/>
        <v>2.372285660522256E-2</v>
      </c>
    </row>
    <row r="43" spans="1:10">
      <c r="A43" s="1">
        <v>39</v>
      </c>
      <c r="B43" s="1"/>
      <c r="C43" s="2">
        <v>-8.7418043999999994E-15</v>
      </c>
      <c r="D43" s="2">
        <v>2.4337949683300001E-11</v>
      </c>
      <c r="E43" s="2">
        <v>-2.57712283154973E-8</v>
      </c>
      <c r="F43" s="2">
        <v>1.33292991222671E-5</v>
      </c>
      <c r="G43" s="2">
        <v>-4.05325989382986E-3</v>
      </c>
      <c r="H43" s="2">
        <v>0.42863000504080201</v>
      </c>
      <c r="I43" s="1"/>
      <c r="J43" s="5">
        <f t="shared" si="2"/>
        <v>2.7622691473130952E-2</v>
      </c>
    </row>
    <row r="44" spans="1:10">
      <c r="A44" s="1">
        <v>40</v>
      </c>
      <c r="B44" s="1"/>
      <c r="C44" s="2">
        <v>-7.1261015000000001E-15</v>
      </c>
      <c r="D44" s="2">
        <v>1.9870096917799999E-11</v>
      </c>
      <c r="E44" s="2">
        <v>-2.12493396322722E-8</v>
      </c>
      <c r="F44" s="2">
        <v>1.12848809052844E-5</v>
      </c>
      <c r="G44" s="2">
        <v>-3.7386279952399998E-3</v>
      </c>
      <c r="H44" s="2">
        <v>0.41678439907977199</v>
      </c>
      <c r="I44" s="1"/>
      <c r="J44" s="5">
        <f t="shared" si="2"/>
        <v>2.9403039615338966E-2</v>
      </c>
    </row>
    <row r="45" spans="1:10">
      <c r="A45" s="1">
        <v>41</v>
      </c>
      <c r="B45" s="1"/>
      <c r="C45" s="2">
        <v>-6.1791127999999998E-15</v>
      </c>
      <c r="D45" s="2">
        <v>1.7388255021000001E-11</v>
      </c>
      <c r="E45" s="2">
        <v>-1.9092061709661401E-8</v>
      </c>
      <c r="F45" s="2">
        <v>1.0731350092293799E-5</v>
      </c>
      <c r="G45" s="2">
        <v>-3.8485932948556902E-3</v>
      </c>
      <c r="H45" s="2">
        <v>0.44808258558026698</v>
      </c>
      <c r="I45" s="1"/>
      <c r="J45" s="5">
        <f t="shared" si="2"/>
        <v>3.5880502857317705E-2</v>
      </c>
    </row>
    <row r="46" spans="1:10">
      <c r="A46" s="1">
        <v>42</v>
      </c>
      <c r="B46" s="1"/>
      <c r="C46" s="2">
        <v>-5.5425632000000001E-15</v>
      </c>
      <c r="D46" s="2">
        <v>1.5433313498199999E-11</v>
      </c>
      <c r="E46" s="2">
        <v>-1.6970777698469101E-8</v>
      </c>
      <c r="F46" s="2">
        <v>9.8378888876812299E-6</v>
      </c>
      <c r="G46" s="2">
        <v>-3.8289702196437399E-3</v>
      </c>
      <c r="H46" s="2">
        <v>0.468515448310241</v>
      </c>
      <c r="I46" s="1"/>
      <c r="J46" s="5">
        <f t="shared" si="2"/>
        <v>4.3747386841014375E-2</v>
      </c>
    </row>
    <row r="47" spans="1:10">
      <c r="A47" s="1">
        <v>43</v>
      </c>
      <c r="B47" s="1"/>
      <c r="C47" s="2">
        <v>-3.2371954999999998E-15</v>
      </c>
      <c r="D47" s="2">
        <v>9.3928351101000007E-12</v>
      </c>
      <c r="E47" s="2">
        <v>-1.12800845348546E-8</v>
      </c>
      <c r="F47" s="2">
        <v>7.4979928652344196E-6</v>
      </c>
      <c r="G47" s="2">
        <v>-3.3064717687621E-3</v>
      </c>
      <c r="H47" s="2">
        <v>0.41822011329841702</v>
      </c>
      <c r="I47" s="1"/>
      <c r="J47" s="5">
        <f t="shared" si="2"/>
        <v>3.7014821970239142E-2</v>
      </c>
    </row>
    <row r="48" spans="1:10">
      <c r="A48" s="1">
        <v>44</v>
      </c>
      <c r="B48" s="1"/>
      <c r="C48" s="2">
        <v>3.7477209999999999E-15</v>
      </c>
      <c r="D48" s="2">
        <v>-9.0083833179999997E-12</v>
      </c>
      <c r="E48" s="2">
        <v>5.7834395026669997E-9</v>
      </c>
      <c r="F48" s="2">
        <v>1.1465897519957299E-6</v>
      </c>
      <c r="G48" s="2">
        <v>-2.52815226026268E-3</v>
      </c>
      <c r="H48" s="2">
        <v>0.41032830897692002</v>
      </c>
      <c r="I48" s="1"/>
      <c r="J48" s="5">
        <f t="shared" si="2"/>
        <v>4.9108618090444867E-2</v>
      </c>
    </row>
    <row r="49" spans="1:10">
      <c r="A49" s="1">
        <v>45</v>
      </c>
      <c r="B49" s="1"/>
      <c r="C49" s="2">
        <v>5.4412369999999998E-16</v>
      </c>
      <c r="D49" s="2">
        <v>-2.855871459E-13</v>
      </c>
      <c r="E49" s="2">
        <v>-2.7174416889095E-9</v>
      </c>
      <c r="F49" s="2">
        <v>4.5981513113157997E-6</v>
      </c>
      <c r="G49" s="2">
        <v>-3.0424817634650101E-3</v>
      </c>
      <c r="H49" s="2">
        <v>0.42920004529330202</v>
      </c>
      <c r="I49" s="1"/>
      <c r="J49" s="5">
        <f t="shared" si="2"/>
        <v>4.4772026452615903E-2</v>
      </c>
    </row>
    <row r="50" spans="1:10">
      <c r="A50" s="1">
        <v>46</v>
      </c>
      <c r="B50" s="1"/>
      <c r="C50" s="2">
        <v>2.1985752E-15</v>
      </c>
      <c r="D50" s="2">
        <v>-5.1092806065000004E-12</v>
      </c>
      <c r="E50" s="2">
        <v>2.3723680415928001E-9</v>
      </c>
      <c r="F50" s="2">
        <v>2.3485789329280301E-6</v>
      </c>
      <c r="G50" s="2">
        <v>-2.6704797013848099E-3</v>
      </c>
      <c r="H50" s="2">
        <v>0.411304309676923</v>
      </c>
      <c r="I50" s="1"/>
      <c r="J50" s="5">
        <f t="shared" si="2"/>
        <v>4.6594827118040527E-2</v>
      </c>
    </row>
    <row r="51" spans="1:10">
      <c r="A51" s="1">
        <v>47</v>
      </c>
      <c r="B51" s="1"/>
      <c r="C51" s="2">
        <v>7.6510426999999993E-15</v>
      </c>
      <c r="D51" s="2">
        <v>-1.9170780782100001E-11</v>
      </c>
      <c r="E51" s="2">
        <v>1.50628358207812E-8</v>
      </c>
      <c r="F51" s="2">
        <v>-2.2298434629301999E-6</v>
      </c>
      <c r="G51" s="2">
        <v>-2.0048908455555202E-3</v>
      </c>
      <c r="H51" s="2">
        <v>0.38623505311166201</v>
      </c>
      <c r="I51" s="1"/>
      <c r="J51" s="5">
        <f t="shared" si="2"/>
        <v>5.4060529998266833E-2</v>
      </c>
    </row>
    <row r="52" spans="1:10">
      <c r="A52" s="1">
        <v>48</v>
      </c>
      <c r="B52" s="1"/>
      <c r="C52" s="2">
        <v>6.1325102999999999E-15</v>
      </c>
      <c r="D52" s="2">
        <v>-1.5089222522300001E-11</v>
      </c>
      <c r="E52" s="2">
        <v>1.11407814585266E-8</v>
      </c>
      <c r="F52" s="2">
        <v>-6.5464181801577103E-7</v>
      </c>
      <c r="G52" s="2">
        <v>-2.2689575705207299E-3</v>
      </c>
      <c r="H52" s="2">
        <v>0.39960906935318202</v>
      </c>
      <c r="I52" s="1"/>
      <c r="J52" s="5">
        <f t="shared" si="2"/>
        <v>5.1962863612412209E-2</v>
      </c>
    </row>
    <row r="53" spans="1:10">
      <c r="A53" s="1">
        <v>49</v>
      </c>
      <c r="B53" s="1"/>
      <c r="C53" s="2">
        <v>7.2766269999999998E-15</v>
      </c>
      <c r="D53" s="2">
        <v>-1.8451509743399999E-11</v>
      </c>
      <c r="E53" s="2">
        <v>1.47770600553741E-8</v>
      </c>
      <c r="F53" s="2">
        <v>-2.3836481712564001E-6</v>
      </c>
      <c r="G53" s="2">
        <v>-1.93855401116782E-3</v>
      </c>
      <c r="H53" s="2">
        <v>0.37980295598540698</v>
      </c>
      <c r="I53" s="1"/>
      <c r="J53" s="5">
        <f t="shared" si="2"/>
        <v>5.3578652074824963E-2</v>
      </c>
    </row>
    <row r="54" spans="1:10">
      <c r="A54" s="1">
        <v>50</v>
      </c>
      <c r="B54" s="1"/>
      <c r="C54" s="2">
        <v>2.5155727999999999E-15</v>
      </c>
      <c r="D54" s="2">
        <v>-5.8831271376000002E-12</v>
      </c>
      <c r="E54" s="2">
        <v>3.046564099179E-9</v>
      </c>
      <c r="F54" s="2">
        <v>2.07563820251862E-6</v>
      </c>
      <c r="G54" s="2">
        <v>-2.57924533330462E-3</v>
      </c>
      <c r="H54" s="2">
        <v>0.40087049600325603</v>
      </c>
      <c r="I54" s="1"/>
      <c r="J54" s="5">
        <f t="shared" si="2"/>
        <v>4.6159812093589173E-2</v>
      </c>
    </row>
    <row r="55" spans="1:10">
      <c r="A55" s="1">
        <v>51</v>
      </c>
      <c r="B55" s="1"/>
      <c r="C55" s="2">
        <v>7.6134135999999993E-15</v>
      </c>
      <c r="D55" s="2">
        <v>-1.9581188985699999E-11</v>
      </c>
      <c r="E55" s="2">
        <v>1.6199369779357401E-8</v>
      </c>
      <c r="F55" s="2">
        <v>-3.20561822032059E-6</v>
      </c>
      <c r="G55" s="2">
        <v>-1.7735391209479101E-3</v>
      </c>
      <c r="H55" s="2">
        <v>0.36904743645117799</v>
      </c>
      <c r="I55" s="1"/>
      <c r="J55" s="5">
        <f t="shared" si="2"/>
        <v>5.3288027688208693E-2</v>
      </c>
    </row>
    <row r="56" spans="1:10">
      <c r="A56" s="1">
        <v>52</v>
      </c>
      <c r="B56" s="1"/>
      <c r="C56" s="2">
        <v>8.8538573999999995E-15</v>
      </c>
      <c r="D56" s="2">
        <v>-2.2157990696499999E-11</v>
      </c>
      <c r="E56" s="2">
        <v>1.7368213647480401E-8</v>
      </c>
      <c r="F56" s="2">
        <v>-2.5174954090347502E-6</v>
      </c>
      <c r="G56" s="2">
        <v>-2.23980255597789E-3</v>
      </c>
      <c r="H56" s="2">
        <v>0.43295892969361599</v>
      </c>
      <c r="I56" s="1"/>
      <c r="J56" s="5">
        <f t="shared" si="2"/>
        <v>6.2999781768870486E-2</v>
      </c>
    </row>
    <row r="57" spans="1:10">
      <c r="A57" s="1">
        <v>53</v>
      </c>
      <c r="B57" s="1"/>
      <c r="C57" s="2">
        <v>8.3160975E-15</v>
      </c>
      <c r="D57" s="2">
        <v>-2.0950380748200001E-11</v>
      </c>
      <c r="E57" s="2">
        <v>1.6697308544869199E-8</v>
      </c>
      <c r="F57" s="2">
        <v>-2.7587097184612601E-6</v>
      </c>
      <c r="G57" s="2">
        <v>-1.97691811542982E-3</v>
      </c>
      <c r="H57" s="2">
        <v>0.38993041764777803</v>
      </c>
      <c r="I57" s="1"/>
      <c r="J57" s="5">
        <f t="shared" si="2"/>
        <v>5.4192627857638315E-2</v>
      </c>
    </row>
    <row r="58" spans="1:10">
      <c r="A58" s="1">
        <v>54</v>
      </c>
      <c r="B58" s="1"/>
      <c r="C58" s="2">
        <v>4.2991236999999997E-15</v>
      </c>
      <c r="D58" s="2">
        <v>-1.0391165872799999E-11</v>
      </c>
      <c r="E58" s="2">
        <v>6.8318386307677003E-9</v>
      </c>
      <c r="F58" s="2">
        <v>1.09673455768493E-6</v>
      </c>
      <c r="G58" s="2">
        <v>-2.58300214939803E-3</v>
      </c>
      <c r="H58" s="2">
        <v>0.42248024147288599</v>
      </c>
      <c r="I58" s="1"/>
      <c r="J58" s="5">
        <f t="shared" si="2"/>
        <v>5.4629903619731933E-2</v>
      </c>
    </row>
    <row r="59" spans="1:10">
      <c r="A59" s="1">
        <v>55</v>
      </c>
      <c r="B59" s="1"/>
      <c r="C59" s="2">
        <v>1.4334992700000001E-14</v>
      </c>
      <c r="D59" s="2">
        <v>-3.6839519254399998E-11</v>
      </c>
      <c r="E59" s="2">
        <v>3.1493804411480203E-8</v>
      </c>
      <c r="F59" s="2">
        <v>-8.3264462965441406E-6</v>
      </c>
      <c r="G59" s="2">
        <v>-1.24655869568563E-3</v>
      </c>
      <c r="H59" s="2">
        <v>0.37275047876017098</v>
      </c>
      <c r="I59" s="1"/>
      <c r="J59" s="5">
        <f t="shared" si="2"/>
        <v>6.1799428345939815E-2</v>
      </c>
    </row>
    <row r="60" spans="1:10">
      <c r="A60" s="1">
        <v>56</v>
      </c>
      <c r="B60" s="1"/>
      <c r="C60" s="2">
        <v>6.3582917999999999E-15</v>
      </c>
      <c r="D60" s="2">
        <v>-1.5994277666500001E-11</v>
      </c>
      <c r="E60" s="2">
        <v>1.2217829730181001E-8</v>
      </c>
      <c r="F60" s="2">
        <v>-9.6061335911720292E-7</v>
      </c>
      <c r="G60" s="2">
        <v>-2.3524088520349901E-3</v>
      </c>
      <c r="H60" s="2">
        <v>0.41911709079649101</v>
      </c>
      <c r="I60" s="1"/>
      <c r="J60" s="5">
        <f t="shared" si="2"/>
        <v>5.3869085829948565E-2</v>
      </c>
    </row>
    <row r="61" spans="1:10">
      <c r="A61" s="1">
        <v>57</v>
      </c>
      <c r="B61" s="1"/>
      <c r="C61" s="2">
        <v>9.9096110999999995E-15</v>
      </c>
      <c r="D61" s="2">
        <v>-2.5127534882699999E-11</v>
      </c>
      <c r="E61" s="2">
        <v>2.0676290164150299E-8</v>
      </c>
      <c r="F61" s="2">
        <v>-4.4729069367479298E-6</v>
      </c>
      <c r="G61" s="2">
        <v>-1.58155082010477E-3</v>
      </c>
      <c r="H61" s="2">
        <v>0.35586915050433698</v>
      </c>
      <c r="I61" s="1"/>
      <c r="J61" s="5">
        <f t="shared" si="2"/>
        <v>5.3437291565040144E-2</v>
      </c>
    </row>
    <row r="62" spans="1:10">
      <c r="A62" s="1">
        <v>58</v>
      </c>
      <c r="B62" s="1"/>
      <c r="C62" s="2">
        <v>1.38426183E-14</v>
      </c>
      <c r="D62" s="2">
        <v>-3.5140569414899998E-11</v>
      </c>
      <c r="E62" s="2">
        <v>2.93786200859416E-8</v>
      </c>
      <c r="F62" s="2">
        <v>-7.2120029604911498E-6</v>
      </c>
      <c r="G62" s="2">
        <v>-1.42025913742861E-3</v>
      </c>
      <c r="H62" s="2">
        <v>0.37895635967741598</v>
      </c>
      <c r="I62" s="1"/>
      <c r="J62" s="5">
        <f t="shared" si="2"/>
        <v>6.1250176007589738E-2</v>
      </c>
    </row>
    <row r="63" spans="1:10">
      <c r="A63" s="1">
        <v>59</v>
      </c>
      <c r="B63" s="1"/>
      <c r="C63" s="2">
        <v>7.1395235000000007E-15</v>
      </c>
      <c r="D63" s="2">
        <v>-1.7190184182200001E-11</v>
      </c>
      <c r="E63" s="2">
        <v>1.2492128408174799E-8</v>
      </c>
      <c r="F63" s="2">
        <v>-9.7738181159404299E-7</v>
      </c>
      <c r="G63" s="2">
        <v>-2.0614326671453799E-3</v>
      </c>
      <c r="H63" s="2">
        <v>0.367484905998677</v>
      </c>
      <c r="I63" s="1"/>
      <c r="J63" s="5">
        <f t="shared" si="2"/>
        <v>4.9451494229363985E-2</v>
      </c>
    </row>
    <row r="64" spans="1:10">
      <c r="A64" s="1">
        <v>60</v>
      </c>
      <c r="B64" s="1"/>
      <c r="C64" s="2">
        <v>9.4297597999999997E-15</v>
      </c>
      <c r="D64" s="2">
        <v>-2.3478284323299999E-11</v>
      </c>
      <c r="E64" s="2">
        <v>1.8559256706611402E-8</v>
      </c>
      <c r="F64" s="2">
        <v>-3.2443968351522498E-6</v>
      </c>
      <c r="G64" s="2">
        <v>-1.90030167883363E-3</v>
      </c>
      <c r="H64" s="2">
        <v>0.38451575972566299</v>
      </c>
      <c r="I64" s="1"/>
      <c r="J64" s="5">
        <f t="shared" si="2"/>
        <v>5.4750770969037174E-2</v>
      </c>
    </row>
    <row r="65" spans="1:10">
      <c r="A65" s="1">
        <v>61</v>
      </c>
      <c r="B65" s="1"/>
      <c r="C65" s="2">
        <v>1.0786607499999999E-14</v>
      </c>
      <c r="D65" s="2">
        <v>-2.7140759681799999E-11</v>
      </c>
      <c r="E65" s="2">
        <v>2.2125794153190299E-8</v>
      </c>
      <c r="F65" s="2">
        <v>-4.7373054097002099E-6</v>
      </c>
      <c r="G65" s="2">
        <v>-1.6016447517914699E-3</v>
      </c>
      <c r="H65" s="2">
        <v>0.362182323033991</v>
      </c>
      <c r="I65" s="1"/>
      <c r="J65" s="5">
        <f t="shared" si="2"/>
        <v>5.4423387868182287E-2</v>
      </c>
    </row>
    <row r="66" spans="1:10">
      <c r="A66" s="1">
        <v>62</v>
      </c>
      <c r="B66" s="1"/>
      <c r="C66" s="2">
        <v>1.1360320900000001E-14</v>
      </c>
      <c r="D66" s="2">
        <v>-2.8504294952400001E-11</v>
      </c>
      <c r="E66" s="2">
        <v>2.31625869969981E-8</v>
      </c>
      <c r="F66" s="2">
        <v>-4.9508151401870998E-6</v>
      </c>
      <c r="G66" s="2">
        <v>-1.65653805766572E-3</v>
      </c>
      <c r="H66" s="2">
        <v>0.37693689075161402</v>
      </c>
      <c r="I66" s="1"/>
      <c r="J66" s="5">
        <f t="shared" si="2"/>
        <v>5.8195638886284873E-2</v>
      </c>
    </row>
    <row r="67" spans="1:10">
      <c r="A67" s="1">
        <v>63</v>
      </c>
      <c r="B67" s="1"/>
      <c r="C67" s="2">
        <v>1.0569071799999999E-14</v>
      </c>
      <c r="D67" s="2">
        <v>-2.6413319447099999E-11</v>
      </c>
      <c r="E67" s="2">
        <v>2.12444700088882E-8</v>
      </c>
      <c r="F67" s="2">
        <v>-4.28676163838256E-6</v>
      </c>
      <c r="G67" s="2">
        <v>-1.68696031172624E-3</v>
      </c>
      <c r="H67" s="2">
        <v>0.36754787424306001</v>
      </c>
      <c r="I67" s="1"/>
      <c r="J67" s="5">
        <f t="shared" si="2"/>
        <v>5.4522545157255284E-2</v>
      </c>
    </row>
    <row r="68" spans="1:10">
      <c r="A68" s="1">
        <v>64</v>
      </c>
      <c r="B68" s="1"/>
      <c r="C68" s="2">
        <v>1.20885408E-14</v>
      </c>
      <c r="D68" s="2">
        <v>-3.0297210740000002E-11</v>
      </c>
      <c r="E68" s="2">
        <v>2.4655329421579101E-8</v>
      </c>
      <c r="F68" s="2">
        <v>-5.3992511470758696E-6</v>
      </c>
      <c r="G68" s="2">
        <v>-1.58784342320273E-3</v>
      </c>
      <c r="H68" s="2">
        <v>0.37228272477461199</v>
      </c>
      <c r="I68" s="1"/>
      <c r="J68" s="5">
        <f t="shared" si="2"/>
        <v>5.8097957572632912E-2</v>
      </c>
    </row>
    <row r="69" spans="1:10">
      <c r="A69" s="1">
        <v>65</v>
      </c>
      <c r="B69" s="1"/>
      <c r="C69" s="2">
        <v>7.4459546000000002E-15</v>
      </c>
      <c r="D69" s="2">
        <v>-1.8216264109699999E-11</v>
      </c>
      <c r="E69" s="2">
        <v>1.3744911772008101E-8</v>
      </c>
      <c r="F69" s="2">
        <v>-1.6347899371233401E-6</v>
      </c>
      <c r="G69" s="2">
        <v>-1.94216411082875E-3</v>
      </c>
      <c r="H69" s="2">
        <v>0.36057064050658399</v>
      </c>
      <c r="I69" s="1"/>
      <c r="J69" s="5">
        <f t="shared" si="2"/>
        <v>4.925597494507767E-2</v>
      </c>
    </row>
    <row r="70" spans="1:10">
      <c r="A70" s="1">
        <v>66</v>
      </c>
      <c r="B70" s="1"/>
      <c r="C70" s="2">
        <v>7.6484070000000005E-15</v>
      </c>
      <c r="D70" s="2">
        <v>-1.8642463283299999E-11</v>
      </c>
      <c r="E70" s="2">
        <v>1.39361624193571E-8</v>
      </c>
      <c r="F70" s="2">
        <v>-1.5084098117117001E-6</v>
      </c>
      <c r="G70" s="2">
        <v>-2.060001567961E-3</v>
      </c>
      <c r="H70" s="2">
        <v>0.37662326244960698</v>
      </c>
      <c r="I70" s="1"/>
      <c r="J70" s="5">
        <f t="shared" si="2"/>
        <v>5.0057301156172136E-2</v>
      </c>
    </row>
    <row r="71" spans="1:10">
      <c r="A71" s="1">
        <v>67</v>
      </c>
      <c r="B71" s="1"/>
      <c r="C71" s="2">
        <v>1.35254103E-14</v>
      </c>
      <c r="D71" s="2">
        <v>-3.4173195821599999E-11</v>
      </c>
      <c r="E71" s="2">
        <v>2.8397421486298699E-8</v>
      </c>
      <c r="F71" s="2">
        <v>-6.9147360633777599E-6</v>
      </c>
      <c r="G71" s="2">
        <v>-1.34702891364726E-3</v>
      </c>
      <c r="H71" s="2">
        <v>0.35970295743029801</v>
      </c>
      <c r="I71" s="1"/>
      <c r="J71" s="5">
        <f t="shared" si="2"/>
        <v>5.8153124046791391E-2</v>
      </c>
    </row>
    <row r="72" spans="1:10">
      <c r="A72" s="1">
        <v>68</v>
      </c>
      <c r="B72" s="1"/>
      <c r="C72" s="2">
        <v>9.3350012000000002E-15</v>
      </c>
      <c r="D72" s="2">
        <v>-2.30187737404E-11</v>
      </c>
      <c r="E72" s="2">
        <v>1.79657280633089E-8</v>
      </c>
      <c r="F72" s="2">
        <v>-3.06829212172837E-6</v>
      </c>
      <c r="G72" s="2">
        <v>-1.79167685225984E-3</v>
      </c>
      <c r="H72" s="2">
        <v>0.36196887923458598</v>
      </c>
      <c r="I72" s="1"/>
      <c r="J72" s="5">
        <f t="shared" si="2"/>
        <v>5.2243243123774916E-2</v>
      </c>
    </row>
    <row r="73" spans="1:10">
      <c r="A73" s="1">
        <v>69</v>
      </c>
      <c r="B73" s="1"/>
      <c r="C73" s="2">
        <v>6.0473106999999999E-15</v>
      </c>
      <c r="D73" s="2">
        <v>-1.4289887417100001E-11</v>
      </c>
      <c r="E73" s="2">
        <v>9.7644774853022005E-9</v>
      </c>
      <c r="F73" s="2">
        <v>6.8847655604113706E-8</v>
      </c>
      <c r="G73" s="2">
        <v>-2.2120476248651999E-3</v>
      </c>
      <c r="H73" s="2">
        <v>0.37231645737853902</v>
      </c>
      <c r="I73" s="1"/>
      <c r="J73" s="5">
        <f t="shared" si="2"/>
        <v>4.7625453817860951E-2</v>
      </c>
    </row>
  </sheetData>
  <sheetProtection algorithmName="SHA-512" hashValue="zXSOuod7ujW5j1zVUdl2olv22grUaFHkS5lPXPjo6SeGBldlzD+txsR3zENJ5MWd2fBf5e8zQ/fCdHGPqgwzOg==" saltValue="XyWphGRv832WBWPWH5M6z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 entry</vt:lpstr>
      <vt:lpstr>Explanation</vt:lpstr>
      <vt:lpstr>Behind the scenes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marlow</dc:creator>
  <cp:lastModifiedBy>andy marlow</cp:lastModifiedBy>
  <dcterms:created xsi:type="dcterms:W3CDTF">2019-12-23T23:15:23Z</dcterms:created>
  <dcterms:modified xsi:type="dcterms:W3CDTF">2020-02-02T05:26:28Z</dcterms:modified>
</cp:coreProperties>
</file>